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155" windowHeight="9525" activeTab="2"/>
  </bookViews>
  <sheets>
    <sheet name="1 priedas" sheetId="1" r:id="rId1"/>
    <sheet name="2 priedas" sheetId="2" r:id="rId2"/>
    <sheet name="3 priedas" sheetId="3" r:id="rId3"/>
    <sheet name="4 priedas" sheetId="4" r:id="rId4"/>
    <sheet name="5 priedas" sheetId="5" r:id="rId5"/>
    <sheet name="6 priedas" sheetId="6" r:id="rId6"/>
  </sheets>
  <definedNames>
    <definedName name="_xlnm.Print_Titles" localSheetId="2">'3 priedas'!$12:$12</definedName>
  </definedNames>
  <calcPr fullCalcOnLoad="1"/>
</workbook>
</file>

<file path=xl/comments3.xml><?xml version="1.0" encoding="utf-8"?>
<comments xmlns="http://schemas.openxmlformats.org/spreadsheetml/2006/main">
  <authors>
    <author>astoskiene</author>
    <author>Audrone Stoskiene</author>
  </authors>
  <commentList>
    <comment ref="L105" authorId="0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su likuciu 2021-12-31
68815+105000=173815</t>
        </r>
      </text>
    </comment>
    <comment ref="E127" authorId="1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knygos</t>
        </r>
      </text>
    </comment>
    <comment ref="F127" authorId="1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spaudiniai, dokumentai</t>
        </r>
      </text>
    </comment>
    <comment ref="L135" authorId="1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7000 islaikymas</t>
        </r>
      </text>
    </comment>
    <comment ref="C162" authorId="0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mityba 1000
</t>
        </r>
      </text>
    </comment>
    <comment ref="C165" authorId="0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mityba 1200
</t>
        </r>
      </text>
    </comment>
    <comment ref="C170" authorId="0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1000 mityba</t>
        </r>
      </text>
    </comment>
    <comment ref="C173" authorId="0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800 mityba</t>
        </r>
      </text>
    </comment>
    <comment ref="C176" authorId="0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2300 mityba</t>
        </r>
      </text>
    </comment>
    <comment ref="C179" authorId="0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1000 mityba</t>
        </r>
      </text>
    </comment>
    <comment ref="C182" authorId="0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1500 mityba</t>
        </r>
      </text>
    </comment>
    <comment ref="C185" authorId="0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1100 mityba</t>
        </r>
      </text>
    </comment>
    <comment ref="C188" authorId="1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mitybai 4000</t>
        </r>
      </text>
    </comment>
    <comment ref="C191" authorId="1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mityba 6000</t>
        </r>
      </text>
    </comment>
    <comment ref="C193" authorId="0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5000 mityba</t>
        </r>
      </text>
    </comment>
    <comment ref="C198" authorId="1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1500 savanoriskai veiklai</t>
        </r>
      </text>
    </comment>
    <comment ref="F226" authorId="1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administravimas minusuotas 3200</t>
        </r>
      </text>
    </comment>
    <comment ref="F227" authorId="1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2045 administravimas</t>
        </r>
      </text>
    </comment>
    <comment ref="F228" authorId="1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1123 administravimas</t>
        </r>
      </text>
    </comment>
    <comment ref="E234" authorId="1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savivaldybės renovuoto būsto paskola</t>
        </r>
      </text>
    </comment>
    <comment ref="C237" authorId="0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9400 tarybos suteiktos lengvatos
1100 lengvatos pagal pajamas</t>
        </r>
      </text>
    </comment>
    <comment ref="C239" authorId="1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1400 pagalba pinigais</t>
        </r>
      </text>
    </comment>
  </commentList>
</comments>
</file>

<file path=xl/sharedStrings.xml><?xml version="1.0" encoding="utf-8"?>
<sst xmlns="http://schemas.openxmlformats.org/spreadsheetml/2006/main" count="789" uniqueCount="628">
  <si>
    <t xml:space="preserve">            1 priedas</t>
  </si>
  <si>
    <t>Eil. Nr.</t>
  </si>
  <si>
    <t>Pajamų pavadinimas</t>
  </si>
  <si>
    <t>Lėšos (Eur)</t>
  </si>
  <si>
    <t>1.</t>
  </si>
  <si>
    <t>1.1.</t>
  </si>
  <si>
    <t xml:space="preserve">Gyventojų pajamų mokestis, tenkantis savivaldybės biudžetui </t>
  </si>
  <si>
    <t>1.2.</t>
  </si>
  <si>
    <t>Žemės mokestis</t>
  </si>
  <si>
    <t>1.3.</t>
  </si>
  <si>
    <t>Nekilnojamojo turto mokestis</t>
  </si>
  <si>
    <t>1.4.</t>
  </si>
  <si>
    <t>Paveldimo turto mokestis</t>
  </si>
  <si>
    <t>1.5.</t>
  </si>
  <si>
    <t>1.6.</t>
  </si>
  <si>
    <t>Nuomos mokestis už valstybinę žemę ir valstybinio vidaus vandenų fondo vandens telkinius</t>
  </si>
  <si>
    <t>1.7.</t>
  </si>
  <si>
    <t>Valstybės rinkliavos</t>
  </si>
  <si>
    <t>1.8.</t>
  </si>
  <si>
    <t>Pajamos iš baudų, konfiskuoto turto ir kitų netesybų</t>
  </si>
  <si>
    <t>1.9.</t>
  </si>
  <si>
    <t>Kitos neišvardintos pajamos</t>
  </si>
  <si>
    <t>2.</t>
  </si>
  <si>
    <t>Kitos savivaldybės planuojamos pajamos, iš jų:</t>
  </si>
  <si>
    <t>2.1.</t>
  </si>
  <si>
    <t>Vietinės rinkliavos už buitinių atliekų surinkimą</t>
  </si>
  <si>
    <t>2.2.</t>
  </si>
  <si>
    <t>Kitos vietinės rinkliavos</t>
  </si>
  <si>
    <t>2.3.</t>
  </si>
  <si>
    <t>Materialiojo ir nematerialiojo turto realizavimo pajamos</t>
  </si>
  <si>
    <t>2.4.</t>
  </si>
  <si>
    <t>Mokesčiai už valstybinius gamtos išteklius (medžiojamus)</t>
  </si>
  <si>
    <t>2.5.</t>
  </si>
  <si>
    <t>Mokesčiai už valstybinius gamtos išteklius (išskyrus medžiojamus)</t>
  </si>
  <si>
    <t>2.6.</t>
  </si>
  <si>
    <t>Mokesčiai už aplinkos teršimą</t>
  </si>
  <si>
    <t>2.7.</t>
  </si>
  <si>
    <t>Biudžetinių ir viešųjų įstaigų pajamos už materialiojo turto nuomą</t>
  </si>
  <si>
    <t>2.8.</t>
  </si>
  <si>
    <t>Biudžetinių įstaigų pajamos už prekes ir paslaugas</t>
  </si>
  <si>
    <t>2.9.</t>
  </si>
  <si>
    <t>Biudžetinių įstaigų pajamos už išlaikymą švietimo, socialinės apsaugos ir kitose įstaigose</t>
  </si>
  <si>
    <t>3.</t>
  </si>
  <si>
    <t>Tikslinės paskirties lėšos, iš jų:</t>
  </si>
  <si>
    <t>3.1.</t>
  </si>
  <si>
    <t>Valstybinėms (valstybės perduotoms savivaldybėms) funkcijoms vykdyti</t>
  </si>
  <si>
    <t>3.2.</t>
  </si>
  <si>
    <t>3.3.</t>
  </si>
  <si>
    <t>Lėšos įstaigoms, turinčioms specialiųjų ugdymo poreikių mokinių, finansuoti</t>
  </si>
  <si>
    <t>3.4.</t>
  </si>
  <si>
    <t>3.5.</t>
  </si>
  <si>
    <t>3.6.</t>
  </si>
  <si>
    <t>3.7.</t>
  </si>
  <si>
    <t>Kompensuojamos Europos Sąjungos finansinės paramos lėšos (projektams)</t>
  </si>
  <si>
    <t>4.</t>
  </si>
  <si>
    <t xml:space="preserve">Skolinimosi pajamos </t>
  </si>
  <si>
    <t>5.</t>
  </si>
  <si>
    <t>5.1.</t>
  </si>
  <si>
    <t>Trumpalaikiams įsiskolinimui dengti</t>
  </si>
  <si>
    <t>5.2.</t>
  </si>
  <si>
    <t>Skolintoms lėšoms iš bankų grąžinti</t>
  </si>
  <si>
    <t>5.3.</t>
  </si>
  <si>
    <t>Savivaldybės biudžeto reikmėms finansuoti</t>
  </si>
  <si>
    <t>5.5.</t>
  </si>
  <si>
    <t>Aplinkos apsaugos rėmimo specialiajai programai</t>
  </si>
  <si>
    <t>IŠ VISO PAJAMŲ</t>
  </si>
  <si>
    <t>Išlaidų pagal parengtas programas pavadinimas</t>
  </si>
  <si>
    <t>Išlaidos pagal parengtas programas iš viso, iš jų:</t>
  </si>
  <si>
    <t>bendrosioms funkcijoms vykdyti</t>
  </si>
  <si>
    <t>kaimo plėtrai</t>
  </si>
  <si>
    <t>smulkiajam, vidutiniam verslui ir turizmui skatinti</t>
  </si>
  <si>
    <t>infrastruktūros objektų priežiūrai, modernizavimui ir plėtrai</t>
  </si>
  <si>
    <t>sveikatos ir aplinkos apsaugai</t>
  </si>
  <si>
    <t>kultūros ir sporto veiklų plėtrai</t>
  </si>
  <si>
    <t>vaikų, jaunimo ir suaugusiųjų ugdymui</t>
  </si>
  <si>
    <t>socialinės paramos plėtrai, socialinei atskirčiai mažinti</t>
  </si>
  <si>
    <t>Savivaldybės biudžeto lėšos, iš jų:</t>
  </si>
  <si>
    <t>išlaidoms</t>
  </si>
  <si>
    <t>darbo užmokesčiui mokėti</t>
  </si>
  <si>
    <t>ilgalaikiam turtui kurti, įsigyti</t>
  </si>
  <si>
    <t>lėšos ilgalaikėms paskoloms grąžinti</t>
  </si>
  <si>
    <t>Lėšos valstybinėms (valstybės perduotoms savivaldybėms) funkcijoms vykdyti, iš jų:</t>
  </si>
  <si>
    <t>Valstybės biudžeto lėšos mokymo reikmėms finansuoti, iš jų:</t>
  </si>
  <si>
    <t>4.1.</t>
  </si>
  <si>
    <t>4.2.</t>
  </si>
  <si>
    <t>4.3.</t>
  </si>
  <si>
    <t>6.</t>
  </si>
  <si>
    <t>6.1.</t>
  </si>
  <si>
    <t>6.2.</t>
  </si>
  <si>
    <t>6.3.</t>
  </si>
  <si>
    <t>7.</t>
  </si>
  <si>
    <t>Pajamų už teikiamas paslaugas (su aplinkos apsaugos rėmimo specialiąja programa ir vietine rinkliava už buitinių atliekų šalinimą) išlaidos, iš jų:</t>
  </si>
  <si>
    <t>7.1.</t>
  </si>
  <si>
    <t>7.2.</t>
  </si>
  <si>
    <t>7.3.</t>
  </si>
  <si>
    <t>Jurbarko rajono savivaldybės tarybos</t>
  </si>
  <si>
    <t>3 priedas</t>
  </si>
  <si>
    <t>(eurai)</t>
  </si>
  <si>
    <t xml:space="preserve">Eil. Nr.  </t>
  </si>
  <si>
    <t>Asignavimų valdytojų/ programų vykdytojų pavadinimai</t>
  </si>
  <si>
    <t>Savivaldybės biudžeto lėšos</t>
  </si>
  <si>
    <t>Lėšos valstybinėms (perduotoms) savivaldybėms funkcijoms vykdyti / kitos tikslinės lėšos</t>
  </si>
  <si>
    <t>Įstaigų pajamų už teikiamas paslaugas lėšos / vietinė rinkliava už buitinių atliekų šalinimą</t>
  </si>
  <si>
    <t>IŠ VISO</t>
  </si>
  <si>
    <t>Iš viso</t>
  </si>
  <si>
    <t>iš jų:</t>
  </si>
  <si>
    <t>BENDRŲJŲ FUNKCIJŲ VYKDYMO PROGRAMA (atsakingas už programos vykdymą – Finansų skyriaus vedėjas)</t>
  </si>
  <si>
    <t>PROGRAMAI SKIRIAMA SUMA:</t>
  </si>
  <si>
    <t>Savivaldybės kontrolės ir audito tarnybai</t>
  </si>
  <si>
    <t>Rajono savivaldybės administracijai, iš jų:</t>
  </si>
  <si>
    <t>savivaldos institucijoms finansuoti</t>
  </si>
  <si>
    <t>savivaldybės mero fondui</t>
  </si>
  <si>
    <t>savivaldybės administracijai bendrosioms paslaugoms finansuoti</t>
  </si>
  <si>
    <t>mobilizacijos funkcijai administruoti</t>
  </si>
  <si>
    <t>civilinei saugai administruoti</t>
  </si>
  <si>
    <t>žemės ūkio funkcijai vykdyti</t>
  </si>
  <si>
    <t>socialinei paramai mokiniams administruoti</t>
  </si>
  <si>
    <t>2.10.</t>
  </si>
  <si>
    <t>jaunimo teisių apsaugai</t>
  </si>
  <si>
    <t>2.11.</t>
  </si>
  <si>
    <t>Eržvilko seniūnijai bendrosioms paslaugoms</t>
  </si>
  <si>
    <t>2.12.</t>
  </si>
  <si>
    <t xml:space="preserve">Girdžių seniūnijai bendrosioms paslaugoms </t>
  </si>
  <si>
    <t>2.13.</t>
  </si>
  <si>
    <t xml:space="preserve">Juodaičių seniūnijai bendrosioms paslaugoms </t>
  </si>
  <si>
    <t>2.14.</t>
  </si>
  <si>
    <t xml:space="preserve">Jurbarkų seniūnijai bendrosioms paslaugoms </t>
  </si>
  <si>
    <t>2.15.</t>
  </si>
  <si>
    <t xml:space="preserve">Raudonės seniūnijai bendrosioms paslaugoms </t>
  </si>
  <si>
    <t>2.16.</t>
  </si>
  <si>
    <t xml:space="preserve">Seredžiaus seniūnijai bendrosioms paslaugoms </t>
  </si>
  <si>
    <t>2.17.</t>
  </si>
  <si>
    <t xml:space="preserve">Skirsnemunės seniūnijai bendrosioms paslaugoms </t>
  </si>
  <si>
    <t>2.18.</t>
  </si>
  <si>
    <t xml:space="preserve">Smalininkų seniūnijai bendrosioms paslaugoms </t>
  </si>
  <si>
    <t>2.19.</t>
  </si>
  <si>
    <t xml:space="preserve">Šimkaičių seniūnijai bendrosioms paslaugoms </t>
  </si>
  <si>
    <t>2.20.</t>
  </si>
  <si>
    <t xml:space="preserve">Veliuonos seniūnijai bendrosioms paslaugoms </t>
  </si>
  <si>
    <t>2.21.</t>
  </si>
  <si>
    <t xml:space="preserve">Viešvilės seniūnijai bendrosioms paslaugoms </t>
  </si>
  <si>
    <t>2.22.</t>
  </si>
  <si>
    <t xml:space="preserve">Jurbarko miesto seniūnijai bendrosioms paslaugoms </t>
  </si>
  <si>
    <t>2.23.</t>
  </si>
  <si>
    <t>Rajono savivaldybės administracijos Finansų skyriui, iš jų:</t>
  </si>
  <si>
    <t>direktoriaus rezervui tvarkyti</t>
  </si>
  <si>
    <t>KAIMO PLĖTROS PROGRAMA (atsakingas už programos vykdymą – Žemės ūkio skyriaus vedėjas)</t>
  </si>
  <si>
    <t>melioracijos išlaidoms finansuoti</t>
  </si>
  <si>
    <t>kaimo plėtrai ir ūkininkams remti</t>
  </si>
  <si>
    <t>VVG „Nemunas“ atrinktiems  projektams remti</t>
  </si>
  <si>
    <t>SMULKAUS, VIDUTINIO VERSLO IR TURIZMO SKATINIMO PROGRAMA (atsakingas už programos vykdymą – Investicijų ir strateginio planavimo skyriaus vedėjas)</t>
  </si>
  <si>
    <t>Turizmo ir verslo informacijos centro veiklos plėtrai</t>
  </si>
  <si>
    <t>smulkiam ir vidutiniam verslui skatinti</t>
  </si>
  <si>
    <t>MVVG „Jurbarkas“ atrinktiems  projektams remti</t>
  </si>
  <si>
    <t>6.4.</t>
  </si>
  <si>
    <t>6.5.</t>
  </si>
  <si>
    <t>projektui „Raudonės (rezidencinės) pilies parko tvarkymas ir pritaikymas lankymui“ finansuoti</t>
  </si>
  <si>
    <t>INFRASTRUKTŪROS OBJEKTŲ PRIEŽIŪROS, MODERNIZAVIMO IR PLĖTROS PROGRAMA (atsakingas už programos vykdymą – Infrastruktūros ir turto skyriaus vedėjas)</t>
  </si>
  <si>
    <t>žemės sklypų formavimo ir infrastruktūros objektų projektams, kadastriniams matavimams ir kitiems teritorijų planavimo dokumentams rengti</t>
  </si>
  <si>
    <t>smulkiems infrastruktūros objektams įrengti, remontuoti, prižiūrėti</t>
  </si>
  <si>
    <t>7.4.</t>
  </si>
  <si>
    <t>7.5.</t>
  </si>
  <si>
    <t>savivaldybės turtui vertinti, kadastrinių matavimų byloms rengti ir nuosavybės teisės įteisinti</t>
  </si>
  <si>
    <t>7.6.</t>
  </si>
  <si>
    <t>keleivių vežiojimo ekonomiškai nenaudingais vietinio susisiekimo maršrutais subsidijoms, viešojo tualeto eksploatacijos nuostoliams dengti</t>
  </si>
  <si>
    <t>7.7.</t>
  </si>
  <si>
    <t>eismo saugumo priemonėms diegti</t>
  </si>
  <si>
    <t>7.8.</t>
  </si>
  <si>
    <t>daugiabučių namų savininkų bendrijoms remti</t>
  </si>
  <si>
    <t>7.9.</t>
  </si>
  <si>
    <t>gatvių apšvietimo infrastruktūros priežiūrai ir plėtrai Jurbarko mieste ir rajone</t>
  </si>
  <si>
    <t>7.10.</t>
  </si>
  <si>
    <t>7.11.</t>
  </si>
  <si>
    <t>7.12.</t>
  </si>
  <si>
    <t>7.13.</t>
  </si>
  <si>
    <t>7.14.</t>
  </si>
  <si>
    <t>7.15.</t>
  </si>
  <si>
    <t>8.</t>
  </si>
  <si>
    <t>Seniūnijų viešojo naudojimo teritorijų, kapinių, gatvių ir kelių priežiūros bei kitiems darbams, iš jų:</t>
  </si>
  <si>
    <t>8.1.</t>
  </si>
  <si>
    <t>Eržvilko seniūnijai</t>
  </si>
  <si>
    <t>8.2.</t>
  </si>
  <si>
    <t>Girdžių seniūnijai</t>
  </si>
  <si>
    <t>8.3.</t>
  </si>
  <si>
    <t>Juodaičių seniūnijai</t>
  </si>
  <si>
    <t>8.4.</t>
  </si>
  <si>
    <t>Jurbarkų seniūnijai</t>
  </si>
  <si>
    <t>8.5.</t>
  </si>
  <si>
    <t>Raudonės seniūnijai</t>
  </si>
  <si>
    <t>8.6.</t>
  </si>
  <si>
    <t>Seredžiaus seniūnijai</t>
  </si>
  <si>
    <t>8.7.</t>
  </si>
  <si>
    <t>Skirsnemunės seniūnijai</t>
  </si>
  <si>
    <t>8.8.</t>
  </si>
  <si>
    <t>Smalininkų seniūnijai</t>
  </si>
  <si>
    <t>8.9.</t>
  </si>
  <si>
    <t>Šimkaičių seniūnijai</t>
  </si>
  <si>
    <t>8.10.</t>
  </si>
  <si>
    <t>Veliuonos seniūnijai</t>
  </si>
  <si>
    <t>8.11.</t>
  </si>
  <si>
    <t>Viešvilės seniūnijai</t>
  </si>
  <si>
    <t>8.12.</t>
  </si>
  <si>
    <t>9.</t>
  </si>
  <si>
    <t xml:space="preserve">Jurbarko rajono priešgaisrinei tarnybai </t>
  </si>
  <si>
    <t>SVEIKATOS IR APLINKOS APSAUGOS PROGRAMA (atsakingas už programos vykdymą – vyriausiasis specialistas (savivaldybės gydytojas))</t>
  </si>
  <si>
    <t>10.</t>
  </si>
  <si>
    <t>Rajono savivaldybės administracijai (aplinkos apsaugos specialiajai programai), iš jų:</t>
  </si>
  <si>
    <t>10.1.</t>
  </si>
  <si>
    <t>aplinkai ir žmogaus sveikatai pavojingiems želdynams šalinti</t>
  </si>
  <si>
    <t>10.2.</t>
  </si>
  <si>
    <t>praeityje užterštoms teritorijoms tvarkyti, kitoms aplinkos teršimo mažinimo priemonėms</t>
  </si>
  <si>
    <t>10.3.</t>
  </si>
  <si>
    <t>ekologinio švietimo ir informavimo priemonėms</t>
  </si>
  <si>
    <t>10.4.</t>
  </si>
  <si>
    <t>medžiojamų gyvūnų daromos žalos prevencinėms priemonėms vykdyti</t>
  </si>
  <si>
    <t>10.5.</t>
  </si>
  <si>
    <t>visuomenės sveikatinimo programoms</t>
  </si>
  <si>
    <t>11.</t>
  </si>
  <si>
    <t>11.1.</t>
  </si>
  <si>
    <t>11.2.</t>
  </si>
  <si>
    <t>11.3.</t>
  </si>
  <si>
    <t>11.4.</t>
  </si>
  <si>
    <t>neveiksnių asmenų būklei peržiūrėti</t>
  </si>
  <si>
    <t>11.5.</t>
  </si>
  <si>
    <t>Tauragės regiono atliekų tvarkymo sistemai kurti (projekto bendrajam finansavimui vykdyti)</t>
  </si>
  <si>
    <t>11.6.</t>
  </si>
  <si>
    <t>buitinių atliekų šalinimo išlaidoms finansuoti</t>
  </si>
  <si>
    <t>12.</t>
  </si>
  <si>
    <t>Rajono savivaldybės administracijos Finansų skyriui, nuompinigių grąžinimas, iš jų:</t>
  </si>
  <si>
    <t>12.1.</t>
  </si>
  <si>
    <t>12.2.</t>
  </si>
  <si>
    <t xml:space="preserve">13. </t>
  </si>
  <si>
    <t>Jurbarko rajono savivaldybės visuomenės sveikatos biurui</t>
  </si>
  <si>
    <t>13.1.</t>
  </si>
  <si>
    <t>13.2.</t>
  </si>
  <si>
    <t>KULTŪROS IR SPORTO VEIKLŲ PLĖTROS PROGRAMA (atsakingas už programos vykdymą – Švietimo, kultūros ir sporto skyriaus vedėjas)</t>
  </si>
  <si>
    <t>14.</t>
  </si>
  <si>
    <t>Jurbarko rajono viešajai bibliotekai</t>
  </si>
  <si>
    <t>15.</t>
  </si>
  <si>
    <t>Jurbarko krašto muziejui</t>
  </si>
  <si>
    <t>16.</t>
  </si>
  <si>
    <t>Jurbarko kultūros centrui</t>
  </si>
  <si>
    <t>17.</t>
  </si>
  <si>
    <t>Eržvilko kultūros centrui</t>
  </si>
  <si>
    <t>18.</t>
  </si>
  <si>
    <t>Klausučių kultūros centrui</t>
  </si>
  <si>
    <t>19.</t>
  </si>
  <si>
    <t>Mažosios Lietuvos Jurbarko krašto kultūros centrui</t>
  </si>
  <si>
    <t>20.</t>
  </si>
  <si>
    <t>Veliuonos kultūros centrui</t>
  </si>
  <si>
    <t>21.</t>
  </si>
  <si>
    <t>21.1.</t>
  </si>
  <si>
    <t>21.2.</t>
  </si>
  <si>
    <t>21.3.</t>
  </si>
  <si>
    <t>moksleivių sportui aktyvinti</t>
  </si>
  <si>
    <t>22.</t>
  </si>
  <si>
    <t>Rajono savivaldybės administracijai, iš jų</t>
  </si>
  <si>
    <t>22.1.</t>
  </si>
  <si>
    <t>viešosios įstaigos „Senovinės technikos muziejus“ veiklai finansuoti</t>
  </si>
  <si>
    <t>22.2.</t>
  </si>
  <si>
    <t>22.3.</t>
  </si>
  <si>
    <t>22.4.</t>
  </si>
  <si>
    <t>22.5.</t>
  </si>
  <si>
    <t>22.6.</t>
  </si>
  <si>
    <t>22.7.</t>
  </si>
  <si>
    <t>seniūnijose organizuojamiems renginiams</t>
  </si>
  <si>
    <t>22.8.</t>
  </si>
  <si>
    <t>savivaldybės biudžete nenumatytoms išlaidoms finansuoti</t>
  </si>
  <si>
    <t>22.9.</t>
  </si>
  <si>
    <t>aukštų rezultatų pasiekusiems sportininkams, treneriams skatinti</t>
  </si>
  <si>
    <t>22.11.</t>
  </si>
  <si>
    <t>22.12.</t>
  </si>
  <si>
    <t>23.</t>
  </si>
  <si>
    <t>23.1.</t>
  </si>
  <si>
    <t>VAIKŲ, JAUNIMO IR SUAUGUSIŲJŲ UGDYMO PROGRAMA (atsakingas už programos vykdymą – Švietimo, kultūros ir sporto skyriaus vedėjas)</t>
  </si>
  <si>
    <t>24.</t>
  </si>
  <si>
    <t>Jurbarko Antano Giedraičio-Giedriaus gimnazijai</t>
  </si>
  <si>
    <t>25.</t>
  </si>
  <si>
    <t>Jurbarko rajono Eržvilko gimnazijai</t>
  </si>
  <si>
    <t>26.</t>
  </si>
  <si>
    <t>Jurbarko r. Veliuonos Antano ir Jono Juškų gimnazijai, iš jų:</t>
  </si>
  <si>
    <t>26.1.</t>
  </si>
  <si>
    <t>darželiui</t>
  </si>
  <si>
    <t>26.2.</t>
  </si>
  <si>
    <t>mokyklai</t>
  </si>
  <si>
    <t>27.</t>
  </si>
  <si>
    <t>Jurbarko Naujamiesčio progimnazijai</t>
  </si>
  <si>
    <t>28.</t>
  </si>
  <si>
    <t>Jurbarko Vytauto Didžiojo progimnazijai</t>
  </si>
  <si>
    <t>29.</t>
  </si>
  <si>
    <t>30.</t>
  </si>
  <si>
    <t>Jurbarko r. Klausučių Stasio Santvaro pagrindinei mokyklai, iš jų:</t>
  </si>
  <si>
    <t>30.1.</t>
  </si>
  <si>
    <t>30.2.</t>
  </si>
  <si>
    <t>31.</t>
  </si>
  <si>
    <t>Jurbarko r. Seredžiaus Stasio Šimkaus mokyklai-daugiafunkciam centrui</t>
  </si>
  <si>
    <t>31.1.</t>
  </si>
  <si>
    <t>31.2.</t>
  </si>
  <si>
    <t>32.</t>
  </si>
  <si>
    <t>Jurbarko r. Skirsnemunės Jurgio Baltrušaičio pagrindinei mokyklai, iš jų:</t>
  </si>
  <si>
    <t>32.1.</t>
  </si>
  <si>
    <t>32.2.</t>
  </si>
  <si>
    <t>33.</t>
  </si>
  <si>
    <t>Jurbarko r. Smalininkų Lidijos Meškaitytės pagrindinei mokyklai, iš jų:</t>
  </si>
  <si>
    <t>33.1.</t>
  </si>
  <si>
    <t>33.2.</t>
  </si>
  <si>
    <t>34.</t>
  </si>
  <si>
    <t>Jurbarko r. Šimkaičių Jono Žemaičio pagrindinei mokyklai, iš jų:</t>
  </si>
  <si>
    <t>34.1.</t>
  </si>
  <si>
    <t>34.2.</t>
  </si>
  <si>
    <t>35.</t>
  </si>
  <si>
    <t>Jurbarko r. Viešvilės pagrindinei mokyklai, iš jų:</t>
  </si>
  <si>
    <t>35.1.</t>
  </si>
  <si>
    <t>35.2.</t>
  </si>
  <si>
    <t>36.</t>
  </si>
  <si>
    <t>Jurbarko „Ąžuoliuko“ mokyklai, iš jų:</t>
  </si>
  <si>
    <t>36.1.</t>
  </si>
  <si>
    <t>36.2.</t>
  </si>
  <si>
    <t>37.</t>
  </si>
  <si>
    <t>Jurbarko r. Jurbarkų darželiui-mokyklai, iš jų:</t>
  </si>
  <si>
    <t>38.</t>
  </si>
  <si>
    <t>Jurbarko vaikų lopšeliui-darželiui „Nykštukas“</t>
  </si>
  <si>
    <t>39.</t>
  </si>
  <si>
    <t>Jurbarko Antano Sodeikos meno mokyklai</t>
  </si>
  <si>
    <t>40.</t>
  </si>
  <si>
    <t>41.</t>
  </si>
  <si>
    <t>41.1.</t>
  </si>
  <si>
    <t>kompensacijoms už lengvatinį mokinių vežimą</t>
  </si>
  <si>
    <t>41.2.</t>
  </si>
  <si>
    <t>jaunimo užimtumui ir integracijai į vietos bendruomenės gyvenimą aktyvinti</t>
  </si>
  <si>
    <t>41.3.</t>
  </si>
  <si>
    <t>mokinių užimtumo, socializacijos, prevencijos ir kitoms programoms finansuoti</t>
  </si>
  <si>
    <t>41.4.</t>
  </si>
  <si>
    <t>neformaliajam vaikų švietimui finansuoti</t>
  </si>
  <si>
    <t>41.5.</t>
  </si>
  <si>
    <t>42.</t>
  </si>
  <si>
    <t>42.1.</t>
  </si>
  <si>
    <t>švietimo objektų plėtrai, modernizavimui, iš jų:</t>
  </si>
  <si>
    <t>SOCIALINĖS PARAMOS PLĖTROS, SOCIALINĖS ATSKIRTIES MAŽINIMO PROGRAMA (atsakingas už programos vykdymą – Socialinės paramos skyriaus vedėjas)</t>
  </si>
  <si>
    <t>45.</t>
  </si>
  <si>
    <t>socialinės paramos išmokoms</t>
  </si>
  <si>
    <t>kompensacijoms už šildymą, kietąjį kurą, šaltą ir karštą vandenį</t>
  </si>
  <si>
    <t>socialinei paramai mirties atveju</t>
  </si>
  <si>
    <t>būsto nuomos, išperkamosios nuomos mokesčių kompensacijoms</t>
  </si>
  <si>
    <t>išlaidoms už įsigytus mokinio reikmenis</t>
  </si>
  <si>
    <t>išlaidoms už įsigytus maisto produktus</t>
  </si>
  <si>
    <t>nemokamo maitinimo patiekalų gamybos išlaidoms</t>
  </si>
  <si>
    <t>socialinės globos paslaugoms teikti asmenims su sunkia negalia</t>
  </si>
  <si>
    <t>aprūpinti nepasiturinčius rajono gyventojus maisto produktais ir higienos prekėmis iš ES pagalbos labiausiai skurstantiems asmenims fondo</t>
  </si>
  <si>
    <t>parama vaikus globojančioms šeimoms</t>
  </si>
  <si>
    <t>neatpažintų palaikų pervežimo išlaidoms dengti</t>
  </si>
  <si>
    <t>neįgaliųjų būstui pritaikyti jų reikmėms</t>
  </si>
  <si>
    <t>socialinės reabilitacijos paslaugų neįgaliesiems ir socialinės integracijos projektams</t>
  </si>
  <si>
    <t>kompensacijoms už lengvatinį socialiai remtinų asmenų vežimą</t>
  </si>
  <si>
    <t>kompensacijoms už buitinių atliekų šalinimą</t>
  </si>
  <si>
    <t>socialinio būsto fondo plėtrai, būstų įsigijimo išlaidoms</t>
  </si>
  <si>
    <t>socialinių paslaugų šeimoms ir neįgaliesiems plėtrai</t>
  </si>
  <si>
    <t>Dienos socialinės globos paslaugoms asmenims su proto negalia (VšĮ „Jurbarko socialinės paslaugos“)</t>
  </si>
  <si>
    <t>ilgalaikės socialinės globos paslaugoms asmenims su proto negalia (VšĮ „Jurbarko socialinės paslaugos“)</t>
  </si>
  <si>
    <t>pagalbos į namus paslaugoms teikti (VšĮ „Jurbarko socialinės paslaugos“)</t>
  </si>
  <si>
    <t>trumpalaikės ir ilgalaikės socialinės globos paslaugoms (VšĮ „Jurbarko socialinės paslaugos“ Eržvilko filialas)</t>
  </si>
  <si>
    <t>paslaugoms vaikus globojančiai šeimai, globėjams, įtėviams ir besirengiančiais jais tapti asmenims teikti (VšĮ „Jurbarko socialinės paslaugos“)</t>
  </si>
  <si>
    <t>maitinimui  labdaros valgykloje organizuoti (Lietuvos samariečių Jurbarko krašto bendrija)</t>
  </si>
  <si>
    <t>projektui „Socialinio būsto plėtra Jurbarko rajono savivaldybėje“ finansuoti</t>
  </si>
  <si>
    <t>46.</t>
  </si>
  <si>
    <t>Seredžiaus senelių globos namams</t>
  </si>
  <si>
    <t>Skalvijos namams</t>
  </si>
  <si>
    <t>užimtumo programai vykdyti</t>
  </si>
  <si>
    <t>IŠ VISO:</t>
  </si>
  <si>
    <t>SPECIALIOSIOS TIKSLINĖS DOTACIJOS VALSTYBINĖMS (PERDUOTOMS</t>
  </si>
  <si>
    <t xml:space="preserve">SAVIVALDYBĖMS) FUNKCIJOMS VYKDYTI PASKIRSTYMAS </t>
  </si>
  <si>
    <t>Funkcijos pavadinimas</t>
  </si>
  <si>
    <t>Skiriama  suma (Eur)</t>
  </si>
  <si>
    <t>Melioracija</t>
  </si>
  <si>
    <t>13.</t>
  </si>
  <si>
    <t>Iš viso:</t>
  </si>
  <si>
    <t>NUMATOMŲ SKOLINTIS LĖŠŲ (PAGAL PRIIMTUS RAJONO SAVIVALDYBĖS TARYBOS SPRENDIMUS) PASKIRSTYMAS PAGAL PROGRAMAS</t>
  </si>
  <si>
    <t>Suma (Eur)</t>
  </si>
  <si>
    <t>Bendrųjų funkcijų vykdymo programa</t>
  </si>
  <si>
    <t xml:space="preserve">    iš jų: kredito linijos lėšos</t>
  </si>
  <si>
    <t>Infrastruktūros objektų priežiūros, modernizavimo ir plėtros programa</t>
  </si>
  <si>
    <t>_______________________</t>
  </si>
  <si>
    <t xml:space="preserve">            6 priedas</t>
  </si>
  <si>
    <t>PASKIRSTYMAS</t>
  </si>
  <si>
    <t>Įsiskolinimo pavadinimas</t>
  </si>
  <si>
    <t>Trumpalaikiams įsiskolinimams dengti, iš jų:</t>
  </si>
  <si>
    <t>Ryšių paslaugoms</t>
  </si>
  <si>
    <t>Transportui išlaikyti</t>
  </si>
  <si>
    <t>Miestų ir gyvenviečių viešajam ūkiui</t>
  </si>
  <si>
    <t>Komunalinėms paslaugoms, iš jų:</t>
  </si>
  <si>
    <t xml:space="preserve">   šildymui </t>
  </si>
  <si>
    <t xml:space="preserve">   elektros energijai</t>
  </si>
  <si>
    <t xml:space="preserve">   vandentiekiui ir kanalizacijai</t>
  </si>
  <si>
    <t>Kitų prekių ir paslaugų įsigijimo išlaidoms</t>
  </si>
  <si>
    <t>Subsidijoms</t>
  </si>
  <si>
    <t>Socialinei paramai pinigais</t>
  </si>
  <si>
    <t>Ilgalaikiams įsiskolinimams – Jurbarko rajono savivaldybės administracijos skolintoms iš bankų lėšoms grąžinti</t>
  </si>
  <si>
    <t>Savivaldybės biudžeto reikmėms finansuoti (socialinės paramos išmokoms)</t>
  </si>
  <si>
    <t>Europos Sąjungos finansinės paramos lėšos projektų bendrajam finansavimui vykdyti</t>
  </si>
  <si>
    <t>Aplinkos apsaugos rėmimo specialiajai programai finansuoti</t>
  </si>
  <si>
    <t xml:space="preserve">                                   __________________________</t>
  </si>
  <si>
    <t>42.2.</t>
  </si>
  <si>
    <t>42.3.</t>
  </si>
  <si>
    <t>42.4.</t>
  </si>
  <si>
    <t>42.5.</t>
  </si>
  <si>
    <t>42.6.</t>
  </si>
  <si>
    <t>42.7.</t>
  </si>
  <si>
    <t>43.</t>
  </si>
  <si>
    <t>44.</t>
  </si>
  <si>
    <t>46.1.</t>
  </si>
  <si>
    <t>Jurbarko miesto seniūnijai</t>
  </si>
  <si>
    <t>Lėšos iš kelių priežiūros ir plėtros programos</t>
  </si>
  <si>
    <t>Mokymo reikmių lėšos/ kelių priežiūros ir plėtros programos lėšos</t>
  </si>
  <si>
    <t>projektui „Kraštovaizdžio formavimas Jurbarko rajone“ finansuoti</t>
  </si>
  <si>
    <t>7.19.</t>
  </si>
  <si>
    <t>pacientų aptarnavimo kokybei gerinti VšĮ Jurbarko rajono PSPC (pastato vidaus remonto išlaidoms iš dalies finansuoti)</t>
  </si>
  <si>
    <t>suaugusiųjų ir jaunimo sportui aktyvinti</t>
  </si>
  <si>
    <t>projektui „Jurbarko kultūros centro pastatui modernizuoti“ finansuoti</t>
  </si>
  <si>
    <t>priemonėms, skirtoms etninės kultūros, vykdyti</t>
  </si>
  <si>
    <t>religinėms bendruomenėms remti</t>
  </si>
  <si>
    <t>Jurbarko krepšinio komandos dalyvavimo regionų krepšinio lygoje išlaidoms iš dalies finansuoti</t>
  </si>
  <si>
    <t>22.13.</t>
  </si>
  <si>
    <t>aukštų rezultatų pasiekusiems kolektyvams, kultūros darbuotojams, atlikėjams skatinti</t>
  </si>
  <si>
    <t>29.1.</t>
  </si>
  <si>
    <t>29.2.</t>
  </si>
  <si>
    <t>40.1.</t>
  </si>
  <si>
    <t>40.2.</t>
  </si>
  <si>
    <t>40.3.</t>
  </si>
  <si>
    <t>40.4.</t>
  </si>
  <si>
    <t>40.5.</t>
  </si>
  <si>
    <t>40.6.</t>
  </si>
  <si>
    <t>mokytojų kelionės išlaidoms iš dalies kompensuoti</t>
  </si>
  <si>
    <t>švietimo įstaigų sporto bazėms remontuoti, atnaujinti, projektų bendrasis finansavimas</t>
  </si>
  <si>
    <t>vienkartinei, sąlyginei tikslinei ir periodinei socialinei paramai</t>
  </si>
  <si>
    <t>42.8.</t>
  </si>
  <si>
    <t>42.9.</t>
  </si>
  <si>
    <t>42.10.</t>
  </si>
  <si>
    <t>atvejo vadybai, seniūnijų socialiniams darbuotojams darbui su šeimomis, patiriančiomis riziką,  išlaikyti (VšĮ „Jurbarko socialinės paslaugos“)</t>
  </si>
  <si>
    <t>42.11.</t>
  </si>
  <si>
    <t>ilgalaikei socialinei globai (asmenų apgyvendinimas specializuotose įstaigose)</t>
  </si>
  <si>
    <t>42.12.</t>
  </si>
  <si>
    <t>42.13.</t>
  </si>
  <si>
    <t>42.17.</t>
  </si>
  <si>
    <t>42.18.</t>
  </si>
  <si>
    <t>42.19.</t>
  </si>
  <si>
    <t>42.20.</t>
  </si>
  <si>
    <t>42.21.</t>
  </si>
  <si>
    <t>42.22.</t>
  </si>
  <si>
    <t>42.23.</t>
  </si>
  <si>
    <t>42.24.</t>
  </si>
  <si>
    <t>42.25.</t>
  </si>
  <si>
    <t>42.26.</t>
  </si>
  <si>
    <t>42.27.</t>
  </si>
  <si>
    <t>42.28.</t>
  </si>
  <si>
    <t>42.29.</t>
  </si>
  <si>
    <t>42.30.</t>
  </si>
  <si>
    <t>45.1.</t>
  </si>
  <si>
    <t>Programos pavadinimas</t>
  </si>
  <si>
    <t>1.5.1.</t>
  </si>
  <si>
    <t>1.5.2.</t>
  </si>
  <si>
    <t>1.5.3.</t>
  </si>
  <si>
    <t>Socialinei paramai natūra</t>
  </si>
  <si>
    <t>Teritorijų planavimo darbams ir infrastruktūros projektams (lėšos, gautos už parduotus žemės sklypus)</t>
  </si>
  <si>
    <t>3.8.</t>
  </si>
  <si>
    <t>5.4.</t>
  </si>
  <si>
    <t>Dotacijai, skirtai projektui „Vandens tiekimo ir nuotekų tvarkymo infrastruktūros plėtra Jurbarko rajone“ finansuoti, iš dalies grąžinti</t>
  </si>
  <si>
    <t>2.24.</t>
  </si>
  <si>
    <t>dotacijai, skirtai projektui „Vandens tiekimo ir nuotekų tvarkymo infrastruktūros plėtra Jurbarko rajone“ finansuoti, iš dalies grąžinti</t>
  </si>
  <si>
    <t>Mokesčiai, pajamos ir rinkliavos, nurodyti 2021 metų valstybės biudžeto ir savivaldybių biudžetų finansinių rodiklių patvirtinimo įstatyme, iš jų:</t>
  </si>
  <si>
    <t>Mokymo reikmių lėšoms finansuoti</t>
  </si>
  <si>
    <t>Tikslinės lėšos neformaliajam vaikų švietimui vykdyti</t>
  </si>
  <si>
    <t>3.9.</t>
  </si>
  <si>
    <t>vietinėms reikšmės keliams (gatvėms) tiesti, rekons-truoti, taisyti (remontuoti), prižiūrėti ir saugaus eismo sąlygoms užtikrinti pagal savivaldybės tarybos 2021-02-25 sprendimą Nr.T2-____ ir tikslinis finansavimas</t>
  </si>
  <si>
    <t>projektui „Užterštos naftos produktais teritorijos Jurbarko r. sav. Girdžių sen., Būtrimų k. sutvarkymas“ finansuoti</t>
  </si>
  <si>
    <t xml:space="preserve"> </t>
  </si>
  <si>
    <t>nekilnojamųjų kultūros vertybių apskaitai, kultūros paveldo objektų tvarkybai, archeologiniams tyrimams</t>
  </si>
  <si>
    <r>
      <t xml:space="preserve">Jurbarko švietimo centrui </t>
    </r>
    <r>
      <rPr>
        <sz val="11"/>
        <rFont val="Times New Roman"/>
        <family val="1"/>
      </rPr>
      <t>(iš jų 3000 Eur suaugusiųjų švietimo programoms)</t>
    </r>
  </si>
  <si>
    <t>projektui „Šeimai palankios aplinkos sukūrimas Jurbarko rajono savivaldybėje“ finansuoti</t>
  </si>
  <si>
    <t>Žemės ūkio funkcijoms vykdyti</t>
  </si>
  <si>
    <t>Civilinės saugos funkcijai vykdyti</t>
  </si>
  <si>
    <t>Priešgaisrinės saugos funkcijai vykdyti</t>
  </si>
  <si>
    <t>Pirminės teisinės pagalbos funkcijai vykdyti</t>
  </si>
  <si>
    <t>Civilinės būklės aktų registravimo funkcijai vykdyti</t>
  </si>
  <si>
    <t>Duomenims Suteiktos valstybės pagalbos ir nereikšmingos pagalbos registrui teikti</t>
  </si>
  <si>
    <t>Gyventojų registro tvarkymo ir duomenų teikimo valstybės registrams funkcijai vykdyti</t>
  </si>
  <si>
    <t>Gyvenamosios vietos deklaravimo duomenų ir gyvenamosios vietos nedeklaravusių asmenų apskaitos duomenų tvarkymo funkcijai vykdyti</t>
  </si>
  <si>
    <t>Valstybinės kalbos vartojimo taisyklingumo kontrolės funkcijai vykdyti</t>
  </si>
  <si>
    <t>Archyvinių dokumentų tvarkymo funkcijai vykdyti</t>
  </si>
  <si>
    <t>Dalyvavimo rengiant ir vykdant mobilizaciją, demobilizaciją ir priimančios šalies paramą funkcijai vykdyti</t>
  </si>
  <si>
    <t>Socialinės paramos išmokoms skaičiuoti ir mokėti</t>
  </si>
  <si>
    <t>Socialinei paramai mokiniams</t>
  </si>
  <si>
    <t>Socialinėms paslaugoms finansuti</t>
  </si>
  <si>
    <t>Jaunimo teisių apsaugai</t>
  </si>
  <si>
    <t>Patvirtintoms užimtumo didinimo programoms įgyvendinti</t>
  </si>
  <si>
    <t>Būsto nuomos mokesčio daliai kompensuoti</t>
  </si>
  <si>
    <t>Neveiksnių asmenų būklės peržiūrėjimui užtikrinti</t>
  </si>
  <si>
    <t>Erdvinių duomenų rinkinio tvarkymo funkcijai vykdyti</t>
  </si>
  <si>
    <t>Teikiamų paslaugų vaikams ir vaiko atstovams koordinavimui finansuoti</t>
  </si>
  <si>
    <t>VD administravimas</t>
  </si>
  <si>
    <t>_____________________                                   Priešgaisrin.</t>
  </si>
  <si>
    <t>Sveikatos biuras</t>
  </si>
  <si>
    <t>Socialin. reikm</t>
  </si>
  <si>
    <t xml:space="preserve">    "Tauragė+" programos projektams finansuoti </t>
  </si>
  <si>
    <t>Mitybos išlaidoms</t>
  </si>
  <si>
    <t>Tik savivaldybės biudžetas</t>
  </si>
  <si>
    <t>vandentvarkos sistemos plėtrai ir vandentvarkos projektams (vandens gręžinys Šimkaičių mstl.)</t>
  </si>
  <si>
    <t>pacientų aptarnavimo kokybei gerinti kaimo vietovių  pirminės sveikatos priežiūros įstaigose</t>
  </si>
  <si>
    <t>11.7.</t>
  </si>
  <si>
    <t>43.31</t>
  </si>
  <si>
    <t xml:space="preserve">                            Jurbarko rajono savivaldybės tarybos</t>
  </si>
  <si>
    <t xml:space="preserve">                                       2022 m. vasario 24 d. sprendimo Nr. T2-</t>
  </si>
  <si>
    <t>JURBARKO RAJONO SAVIVALDYBĖS 2022 M. BIUDŽETO PAJAMOS</t>
  </si>
  <si>
    <t>Socialinę riziką patiriančių vaikų ikimokykliniam ugdymui organizuoti</t>
  </si>
  <si>
    <t>Kompensuojamos Europos Sąjungos finansinės paramos lėšos (projektams finansuoti)</t>
  </si>
  <si>
    <t>Kompensuojamos valstybės biudžeto lėšos (projektams finansuoti)</t>
  </si>
  <si>
    <t>Tikslinės lėšos viešųjų bibliotekų dokumentams įsigyti</t>
  </si>
  <si>
    <t>3.10.</t>
  </si>
  <si>
    <t>Padidėjusioms šildymo išlaidų kompensacijoms mokėti</t>
  </si>
  <si>
    <t>3.11.</t>
  </si>
  <si>
    <t>Tikslinės lėšos vaikų Dienos centrams finansuoti</t>
  </si>
  <si>
    <t>3.12.</t>
  </si>
  <si>
    <t>Asmeninei pagalbai neįgaliesiems teikti</t>
  </si>
  <si>
    <t>3.13.</t>
  </si>
  <si>
    <t>Socialinės reabilitcijos paslaugoms neįgaliesiems</t>
  </si>
  <si>
    <t>3.14.</t>
  </si>
  <si>
    <t>2021-12-31 biudžeto lėšų likučiai, nukreipiami į savivaldybės biudžetą, iš jų:</t>
  </si>
  <si>
    <t>________________________</t>
  </si>
  <si>
    <t>Lėšos būsto pritaikymui neįgaliųjų reikmėms</t>
  </si>
  <si>
    <t xml:space="preserve">            2 priedas</t>
  </si>
  <si>
    <t>JURBARKO RAJONO SAVIVALDYBĖS 2022 M. BIUDŽETO IŠLAIDOS PAGAL PROGRAMAS</t>
  </si>
  <si>
    <t>Projektams vykdyti iš skolintų lėšų</t>
  </si>
  <si>
    <t>Tikslinės Europos Sąjungos finansinės paramos lėšos</t>
  </si>
  <si>
    <t>Kitos tikslinės valstybės biudžeto lėšos iš jų:</t>
  </si>
  <si>
    <t xml:space="preserve">_________________________  </t>
  </si>
  <si>
    <t>2022 m. vasario 24 d. sprendimo Nr. T2-</t>
  </si>
  <si>
    <t>JURBARKO RAJONO SAVIVALDYBĖS 2022 METŲ BIUDŽETAS</t>
  </si>
  <si>
    <t>darbo užmokesčio fondui</t>
  </si>
  <si>
    <t>socialinėms paslaugoms  administruoti</t>
  </si>
  <si>
    <t xml:space="preserve">kitai socialinei paramai administruoti </t>
  </si>
  <si>
    <t>neformaliajam vaikų švietimui administruoti</t>
  </si>
  <si>
    <t>vaikų Dienos socialinei priežiūrai administruoti</t>
  </si>
  <si>
    <t>asmeninei pagalbai organizuoti ir administruoti</t>
  </si>
  <si>
    <t>neįgaliųjų būsto pritaikymui administruoti</t>
  </si>
  <si>
    <t>socialinės reabilitacijos paslaugoms administruoti</t>
  </si>
  <si>
    <t>2.25.</t>
  </si>
  <si>
    <t>2.26.</t>
  </si>
  <si>
    <t>Savivaldybės administracijos ir seniūnijų remonto, inventoriaus įsigijimo išlaidoms</t>
  </si>
  <si>
    <t>palūkanoms ir kitiems bankų  mokėjimams vykdyti</t>
  </si>
  <si>
    <t>reprezentaciniams leidiniams, suvenyrams įsigyti</t>
  </si>
  <si>
    <t>projektų paraiškoms rengti, konsultavimo ir projektų eksper-tizių paslaugoms, nekompensuojamoms, bet būtinoms projektų išlaidoms finansuoti, bendrojo finansavimo lėšoms</t>
  </si>
  <si>
    <t>daugiabučių namų infrastruktūros, viešojo naudojimo aikštelėms remontuoti  Jurbarko mieste (150000 Eur) ir Jurbarko rajone (50000 Eur)</t>
  </si>
  <si>
    <t>infrastruktūros plėtrai elektromobilių įkrovimo ir nuotekų infrastruktūrai Veliuonos mstl. įrengti</t>
  </si>
  <si>
    <t>investicijoms į šilumos ūkio modernizavimą Viešvilėje grąžinti (2021 m. dalis) ir kamino remontas</t>
  </si>
  <si>
    <t>gatvėms ir vietiniams keliams rekonstruoti ir (ar) remon-tuoti būtinoms, bet nekompensuojamoms išlaidoms dengti</t>
  </si>
  <si>
    <t>bešeimininkiams apleistiems pastatams tvarkyti</t>
  </si>
  <si>
    <t>privačių namų prijungimui prie nuotekų surinkimo infrastruktūros (25000 Eur) ir vietinių nuotekų įrengi-nių įsigijimo kompensacijoms (25000 Eur) finansuoti</t>
  </si>
  <si>
    <t>miesto stebėjimo vaizdo kameromis paslaugoms</t>
  </si>
  <si>
    <t>7.17.</t>
  </si>
  <si>
    <t>sanitarinių patalpų įrengimas viešosiose vietose</t>
  </si>
  <si>
    <t>7.18.</t>
  </si>
  <si>
    <t xml:space="preserve">policijos rėmėjų aprangai įsigyti </t>
  </si>
  <si>
    <t>projektui „Parama vietinės reikšmės keliams Jurbarko rajone“</t>
  </si>
  <si>
    <t>7.20.</t>
  </si>
  <si>
    <t>projektui „Eismo saugumo priemonių diegimas Jurbarko miesto Lauko gatvėje“</t>
  </si>
  <si>
    <t>pacientų aptarnavimo kokybei gerinti VšĮ Jurbarko ligoninėje (remonto išlaidoms, vaikų ligų skyriui iš dalies finansuoti)</t>
  </si>
  <si>
    <t>Viešajai įstaigai Jurbarko ligoninei</t>
  </si>
  <si>
    <t>Viešajai įstaigai Jurbarko rajono PSPC</t>
  </si>
  <si>
    <t>plėtoti sveiką gyvenseną bei stiprinti sveikos gyvensenos įgūdžius ugdymo įstaigose ir bendruome-nėse, vykdyti visuomenės sveikatos stebėseną</t>
  </si>
  <si>
    <t>plėtoti visuomenės psichikos sveikatos paslaugų prieinamumą bei ankstyvojo savižudybių atpažinimo ir kompleksinės pagalbos teikimą</t>
  </si>
  <si>
    <t>Jurbarko sporto centrui, iš jų:</t>
  </si>
  <si>
    <t>nevyriausybinėms ir bendruomeninėms organizacijoms remti</t>
  </si>
  <si>
    <t>sporto klubų veiklos programoms iš dalies finansuoti</t>
  </si>
  <si>
    <t>22.10.</t>
  </si>
  <si>
    <t xml:space="preserve">Šaulių sąjungos šaudyklos remonto išlaidoms iš dalies dengti </t>
  </si>
  <si>
    <t>22.14.</t>
  </si>
  <si>
    <t>projektui „Mažosios Lietuvos Jurbarko krašto kultūros centro aktualizavimas“ finansuoti</t>
  </si>
  <si>
    <t>22.15.</t>
  </si>
  <si>
    <t>projektui „Mokausi plaukti ir saugiai elgtis vandenyje“ finansuoti</t>
  </si>
  <si>
    <t>kultūros ir sporto įstaigoms remontuoti, ilgalaikio turto įsigijimo išlaidoms</t>
  </si>
  <si>
    <t>23.2.</t>
  </si>
  <si>
    <t>apskrities Dainų šventės išlaidoms</t>
  </si>
  <si>
    <t>23.3.</t>
  </si>
  <si>
    <t>Jurbarko Antano Giedraičio-Giedriaus gimnazijos pastatui šiltinti (dalinis finasavimas)</t>
  </si>
  <si>
    <t>40.8.</t>
  </si>
  <si>
    <t>40.9.</t>
  </si>
  <si>
    <t>nepaskirstytos mokymo lėšos</t>
  </si>
  <si>
    <t>švietimo įstaigoms higienos, apsaugos priemonėms įsigyti</t>
  </si>
  <si>
    <t>gabiems mokiniams skatinti</t>
  </si>
  <si>
    <t>mokytojų ir švietimo pagalbos specialistų studijoms finansuoti</t>
  </si>
  <si>
    <t>Vaikų dienos centrų paslaugoms (savivaldybės akredituotiems vaikų dienos centrams)</t>
  </si>
  <si>
    <t xml:space="preserve">asmeninei pagalbai teikti </t>
  </si>
  <si>
    <t>42.14.</t>
  </si>
  <si>
    <t>42,15.</t>
  </si>
  <si>
    <t>42,16.</t>
  </si>
  <si>
    <t>pagalba vaikams patekusiems į krizinę situaciją ir globos paslaugoms VšĮ Jurbarko ligoninėje</t>
  </si>
  <si>
    <t>laikinai negyvenamų, neišnuomotų ir kitų savivaldybės patalpų, labdaros valgyklos komunalinėms ir kitoms paslaugoms dengti</t>
  </si>
  <si>
    <t>transporto paslaugai neįgaliesiems teikti</t>
  </si>
  <si>
    <t>bendrosios higienos ir laikino apgyvendinimo nakvynės namuose paslaugoms (VšĮ „Jurbarko socialinės paslaugos“)</t>
  </si>
  <si>
    <t>42.32.</t>
  </si>
  <si>
    <t>43.33</t>
  </si>
  <si>
    <t>43.34</t>
  </si>
  <si>
    <t xml:space="preserve">                                     2022 m. vasario 24 d. sprendimo Nr. T2-</t>
  </si>
  <si>
    <t xml:space="preserve">            4 priedas</t>
  </si>
  <si>
    <t>Melioracijai</t>
  </si>
  <si>
    <t>Savivaldybei priskirtos valstybinės žemės ir kito valstybinio turto valdymas, naudojimas ir disponavimas juo patikėjimo teise</t>
  </si>
  <si>
    <t>Plėtoti sveiką gyvenseną bei stiprinti sveikos gyvensenos įgūdžius ugdymo įstaigose ir bendruomenėse, vykdyti visuomenės sveikatos stebėseną</t>
  </si>
  <si>
    <t>Plėtoti visuomenės psichikos sveikatos paslaugų prieinamumą bei ankstyvojo savižudybių atpažinimo ir kompleksinės pagalbos teikimą</t>
  </si>
  <si>
    <t>_____________________</t>
  </si>
  <si>
    <t xml:space="preserve">                                      2022 m. vasario 24 d. sprendimo Nr. T2-</t>
  </si>
  <si>
    <t>Socialinio draudimo išlaidoms</t>
  </si>
  <si>
    <t>1.10.</t>
  </si>
  <si>
    <t>1.11.</t>
  </si>
  <si>
    <t>Infrastruktūros ir kitų statinių įsigijimo išlaidoms</t>
  </si>
  <si>
    <t>Savivaldybės biudžeto reikmėms finansuoti (viešojo naudojimo teritorijų tvarkymo darbams Jurbarko miesto seniūnijoje)</t>
  </si>
  <si>
    <t xml:space="preserve">            5 priedas</t>
  </si>
  <si>
    <t>DALIES SAVIVALDYBĖS BIUDŽETO LĖŠŲ LIKUČIO 2021 M. GRUODŽIO 31 D.</t>
  </si>
  <si>
    <t>2.27.</t>
  </si>
  <si>
    <t>2.28.</t>
  </si>
  <si>
    <t>sporto centro veiklai</t>
  </si>
  <si>
    <t>Pedagoginių darbuotojų darbo užmokesčiui mokėti, vadovų minimaliems koeficientams dididnti</t>
  </si>
  <si>
    <t>Tikslinės lėšos socialinių paslaugų šakos kolektyvinei sutarčiai įgyvendinti, socialinių paslaugų srities darbuotojų minimaliems koeficientams didinti</t>
  </si>
  <si>
    <t>3.15.</t>
  </si>
  <si>
    <t>kultūrinės veiklos programoms ir renginiams, iš jų: 10000 Eur Lidijos Meškaitytės metams paminėti, 1500 Eur Veliuonos novelės premijai, 5000 Eur transporto išlaidoms miestų-partnerių kvietimu</t>
  </si>
  <si>
    <t>lėšos besimokančio jaunimo darbo užmokesčio kompensacijoms mokėti</t>
  </si>
  <si>
    <t>40.10</t>
  </si>
  <si>
    <t>40.11</t>
  </si>
  <si>
    <t>švietimo ir sporto įstaigų pastatams remontuoti ir avarinėms situacijoms likviduoti</t>
  </si>
  <si>
    <t>švietimo ir sporto įstaigoms turtui, inventoriui įsigyti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</si>
</sst>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##,000_);[Red]\([$€-2]\ ###,000\)"/>
    <numFmt numFmtId="167" formatCode="#,##0\ &quot;Lt&quot;;[Red]\-#,##0\ &quot;Lt&quot;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1.5"/>
      <name val="Times New Roman"/>
      <family val="1"/>
    </font>
    <font>
      <b/>
      <sz val="10.5"/>
      <name val="Times New Roman"/>
      <family val="1"/>
    </font>
    <font>
      <b/>
      <sz val="10.8"/>
      <name val="Times New Roman"/>
      <family val="1"/>
    </font>
    <font>
      <b/>
      <sz val="11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.5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2"/>
      <color theme="1"/>
      <name val="Times New Roman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60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>
      <alignment/>
      <protection/>
    </xf>
    <xf numFmtId="0" fontId="68" fillId="0" borderId="0" applyNumberFormat="0" applyFill="0" applyBorder="0" applyAlignment="0" applyProtection="0"/>
    <xf numFmtId="0" fontId="69" fillId="22" borderId="4" applyNumberFormat="0" applyAlignment="0" applyProtection="0"/>
    <xf numFmtId="0" fontId="70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0" fillId="31" borderId="6" applyNumberFormat="0" applyFont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22" borderId="5" applyNumberFormat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0" fillId="0" borderId="0" xfId="0" applyFont="1" applyAlignment="1">
      <alignment horizontal="left"/>
    </xf>
    <xf numFmtId="0" fontId="81" fillId="0" borderId="0" xfId="0" applyFont="1" applyAlignment="1">
      <alignment/>
    </xf>
    <xf numFmtId="0" fontId="80" fillId="0" borderId="0" xfId="0" applyFont="1" applyAlignment="1">
      <alignment horizontal="right"/>
    </xf>
    <xf numFmtId="0" fontId="80" fillId="0" borderId="0" xfId="0" applyFont="1" applyAlignment="1">
      <alignment wrapText="1"/>
    </xf>
    <xf numFmtId="0" fontId="82" fillId="0" borderId="0" xfId="0" applyFont="1" applyAlignment="1">
      <alignment/>
    </xf>
    <xf numFmtId="0" fontId="77" fillId="0" borderId="0" xfId="0" applyFont="1" applyAlignment="1">
      <alignment horizontal="right"/>
    </xf>
    <xf numFmtId="0" fontId="77" fillId="0" borderId="0" xfId="0" applyFont="1" applyAlignment="1">
      <alignment wrapText="1"/>
    </xf>
    <xf numFmtId="0" fontId="83" fillId="0" borderId="0" xfId="0" applyFont="1" applyAlignment="1">
      <alignment/>
    </xf>
    <xf numFmtId="0" fontId="77" fillId="0" borderId="0" xfId="0" applyFont="1" applyAlignment="1">
      <alignment/>
    </xf>
    <xf numFmtId="0" fontId="82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vertical="top" wrapText="1"/>
    </xf>
    <xf numFmtId="0" fontId="79" fillId="0" borderId="10" xfId="0" applyFont="1" applyBorder="1" applyAlignment="1">
      <alignment horizontal="right" vertical="center" wrapText="1"/>
    </xf>
    <xf numFmtId="0" fontId="80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vertical="top" wrapText="1"/>
    </xf>
    <xf numFmtId="0" fontId="81" fillId="0" borderId="10" xfId="0" applyFont="1" applyBorder="1" applyAlignment="1">
      <alignment horizontal="right" vertical="center" wrapText="1"/>
    </xf>
    <xf numFmtId="0" fontId="78" fillId="0" borderId="0" xfId="0" applyFont="1" applyAlignment="1">
      <alignment horizontal="center"/>
    </xf>
    <xf numFmtId="0" fontId="84" fillId="0" borderId="0" xfId="0" applyFont="1" applyAlignment="1">
      <alignment/>
    </xf>
    <xf numFmtId="167" fontId="79" fillId="0" borderId="0" xfId="0" applyNumberFormat="1" applyFont="1" applyAlignment="1">
      <alignment/>
    </xf>
    <xf numFmtId="167" fontId="81" fillId="0" borderId="0" xfId="0" applyNumberFormat="1" applyFont="1" applyAlignment="1">
      <alignment/>
    </xf>
    <xf numFmtId="0" fontId="8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/>
    </xf>
    <xf numFmtId="0" fontId="82" fillId="0" borderId="0" xfId="0" applyFont="1" applyAlignment="1">
      <alignment horizontal="center" vertical="center" wrapText="1"/>
    </xf>
    <xf numFmtId="0" fontId="79" fillId="0" borderId="0" xfId="0" applyFont="1" applyAlignment="1">
      <alignment vertical="top" wrapText="1"/>
    </xf>
    <xf numFmtId="0" fontId="79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0" fontId="14" fillId="0" borderId="0" xfId="0" applyFont="1" applyAlignment="1">
      <alignment horizontal="right" vertical="center"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right" wrapText="1"/>
    </xf>
    <xf numFmtId="16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16" fontId="1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15" fillId="0" borderId="10" xfId="0" applyFont="1" applyBorder="1" applyAlignment="1">
      <alignment horizontal="right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 wrapText="1"/>
    </xf>
    <xf numFmtId="0" fontId="15" fillId="0" borderId="11" xfId="0" applyFont="1" applyBorder="1" applyAlignment="1">
      <alignment horizontal="right"/>
    </xf>
    <xf numFmtId="0" fontId="9" fillId="0" borderId="0" xfId="0" applyFont="1" applyAlignment="1">
      <alignment wrapText="1"/>
    </xf>
    <xf numFmtId="0" fontId="5" fillId="0" borderId="10" xfId="0" applyFont="1" applyBorder="1" applyAlignment="1">
      <alignment horizontal="right"/>
    </xf>
    <xf numFmtId="16" fontId="15" fillId="0" borderId="12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5" fillId="0" borderId="10" xfId="0" applyFont="1" applyBorder="1" applyAlignment="1">
      <alignment horizontal="right" wrapText="1"/>
    </xf>
    <xf numFmtId="0" fontId="15" fillId="0" borderId="12" xfId="0" applyFont="1" applyBorder="1" applyAlignment="1">
      <alignment horizontal="right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4" fillId="0" borderId="10" xfId="0" applyFont="1" applyBorder="1" applyAlignment="1">
      <alignment horizontal="right"/>
    </xf>
    <xf numFmtId="16" fontId="15" fillId="0" borderId="10" xfId="0" applyNumberFormat="1" applyFont="1" applyBorder="1" applyAlignment="1">
      <alignment horizontal="right" wrapText="1"/>
    </xf>
    <xf numFmtId="17" fontId="15" fillId="0" borderId="10" xfId="0" applyNumberFormat="1" applyFont="1" applyBorder="1" applyAlignment="1">
      <alignment horizontal="right" wrapText="1"/>
    </xf>
    <xf numFmtId="0" fontId="11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22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horizontal="right" wrapText="1"/>
    </xf>
    <xf numFmtId="0" fontId="1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167" fontId="5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5" fillId="0" borderId="14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86" fillId="0" borderId="0" xfId="0" applyFont="1" applyAlignment="1">
      <alignment horizontal="right"/>
    </xf>
    <xf numFmtId="0" fontId="86" fillId="0" borderId="0" xfId="0" applyFont="1" applyAlignment="1">
      <alignment wrapText="1"/>
    </xf>
    <xf numFmtId="0" fontId="87" fillId="0" borderId="0" xfId="0" applyFont="1" applyAlignment="1">
      <alignment/>
    </xf>
    <xf numFmtId="0" fontId="67" fillId="0" borderId="0" xfId="0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90" fillId="0" borderId="10" xfId="0" applyFont="1" applyBorder="1" applyAlignment="1">
      <alignment horizontal="center"/>
    </xf>
    <xf numFmtId="0" fontId="90" fillId="0" borderId="10" xfId="0" applyFont="1" applyBorder="1" applyAlignment="1">
      <alignment horizontal="center" wrapText="1"/>
    </xf>
    <xf numFmtId="0" fontId="90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left" wrapText="1"/>
    </xf>
    <xf numFmtId="0" fontId="9" fillId="0" borderId="12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horizontal="right"/>
    </xf>
    <xf numFmtId="0" fontId="9" fillId="0" borderId="14" xfId="0" applyFont="1" applyBorder="1" applyAlignment="1">
      <alignment horizontal="right" wrapText="1"/>
    </xf>
    <xf numFmtId="0" fontId="91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12" xfId="0" applyFont="1" applyBorder="1" applyAlignment="1">
      <alignment horizontal="right" wrapText="1"/>
    </xf>
    <xf numFmtId="0" fontId="9" fillId="0" borderId="12" xfId="0" applyFont="1" applyBorder="1" applyAlignment="1">
      <alignment horizontal="left" wrapText="1"/>
    </xf>
    <xf numFmtId="16" fontId="84" fillId="0" borderId="10" xfId="0" applyNumberFormat="1" applyFont="1" applyBorder="1" applyAlignment="1">
      <alignment horizontal="right"/>
    </xf>
    <xf numFmtId="0" fontId="80" fillId="0" borderId="10" xfId="0" applyFont="1" applyBorder="1" applyAlignment="1">
      <alignment horizontal="left" wrapText="1"/>
    </xf>
    <xf numFmtId="0" fontId="80" fillId="0" borderId="10" xfId="0" applyFont="1" applyBorder="1" applyAlignment="1">
      <alignment horizontal="right" wrapText="1"/>
    </xf>
    <xf numFmtId="0" fontId="86" fillId="0" borderId="10" xfId="0" applyFont="1" applyBorder="1" applyAlignment="1">
      <alignment horizontal="right" wrapText="1"/>
    </xf>
    <xf numFmtId="0" fontId="82" fillId="0" borderId="10" xfId="0" applyFont="1" applyBorder="1" applyAlignment="1">
      <alignment horizontal="right"/>
    </xf>
    <xf numFmtId="0" fontId="88" fillId="0" borderId="10" xfId="0" applyFont="1" applyBorder="1" applyAlignment="1">
      <alignment horizontal="right"/>
    </xf>
    <xf numFmtId="0" fontId="88" fillId="0" borderId="10" xfId="0" applyFont="1" applyBorder="1" applyAlignment="1">
      <alignment horizontal="left" wrapText="1"/>
    </xf>
    <xf numFmtId="0" fontId="86" fillId="0" borderId="10" xfId="0" applyFont="1" applyBorder="1" applyAlignment="1">
      <alignment horizontal="right"/>
    </xf>
    <xf numFmtId="0" fontId="89" fillId="0" borderId="10" xfId="0" applyFont="1" applyBorder="1" applyAlignment="1">
      <alignment horizontal="right" wrapText="1"/>
    </xf>
    <xf numFmtId="0" fontId="86" fillId="0" borderId="10" xfId="0" applyFont="1" applyBorder="1" applyAlignment="1">
      <alignment wrapText="1"/>
    </xf>
    <xf numFmtId="0" fontId="67" fillId="0" borderId="0" xfId="0" applyFont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19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10" xfId="0" applyFont="1" applyBorder="1" applyAlignment="1">
      <alignment horizontal="right" wrapText="1"/>
    </xf>
    <xf numFmtId="0" fontId="21" fillId="0" borderId="10" xfId="0" applyFont="1" applyBorder="1" applyAlignment="1">
      <alignment horizontal="right" wrapText="1"/>
    </xf>
    <xf numFmtId="0" fontId="9" fillId="0" borderId="16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11" fillId="0" borderId="0" xfId="0" applyFont="1" applyAlignment="1">
      <alignment horizontal="right"/>
    </xf>
    <xf numFmtId="0" fontId="81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90" fillId="0" borderId="12" xfId="0" applyFont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 wrapText="1"/>
    </xf>
    <xf numFmtId="0" fontId="90" fillId="0" borderId="18" xfId="0" applyFont="1" applyBorder="1" applyAlignment="1">
      <alignment horizontal="center" vertical="center" wrapText="1"/>
    </xf>
    <xf numFmtId="0" fontId="90" fillId="0" borderId="16" xfId="0" applyFont="1" applyBorder="1" applyAlignment="1">
      <alignment horizontal="center" vertical="center" wrapText="1"/>
    </xf>
    <xf numFmtId="0" fontId="90" fillId="0" borderId="14" xfId="0" applyFont="1" applyBorder="1" applyAlignment="1">
      <alignment horizontal="center" vertical="center" wrapText="1"/>
    </xf>
    <xf numFmtId="0" fontId="87" fillId="0" borderId="0" xfId="0" applyFont="1" applyAlignment="1">
      <alignment horizontal="center"/>
    </xf>
    <xf numFmtId="0" fontId="7" fillId="0" borderId="10" xfId="0" applyFont="1" applyBorder="1" applyAlignment="1">
      <alignment horizontal="left" wrapText="1"/>
    </xf>
    <xf numFmtId="0" fontId="90" fillId="0" borderId="10" xfId="0" applyFont="1" applyBorder="1" applyAlignment="1">
      <alignment horizontal="center" vertical="center" wrapText="1"/>
    </xf>
    <xf numFmtId="0" fontId="90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1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1">
      <selection activeCell="K45" sqref="K45"/>
    </sheetView>
  </sheetViews>
  <sheetFormatPr defaultColWidth="9.140625" defaultRowHeight="15"/>
  <cols>
    <col min="1" max="1" width="6.00390625" style="14" customWidth="1"/>
    <col min="2" max="2" width="74.28125" style="2" customWidth="1"/>
    <col min="3" max="3" width="13.8515625" style="2" customWidth="1"/>
    <col min="4" max="4" width="2.7109375" style="2" customWidth="1"/>
    <col min="5" max="5" width="10.57421875" style="2" customWidth="1"/>
    <col min="6" max="16384" width="9.140625" style="2" customWidth="1"/>
  </cols>
  <sheetData>
    <row r="1" spans="1:3" s="28" customFormat="1" ht="15.75">
      <c r="A1" s="26"/>
      <c r="B1" s="174" t="s">
        <v>509</v>
      </c>
      <c r="C1" s="174"/>
    </row>
    <row r="2" spans="1:3" s="28" customFormat="1" ht="15.75">
      <c r="A2" s="26"/>
      <c r="B2" s="174" t="s">
        <v>510</v>
      </c>
      <c r="C2" s="174"/>
    </row>
    <row r="3" spans="1:3" s="28" customFormat="1" ht="15.75">
      <c r="A3" s="26"/>
      <c r="B3" s="27" t="s">
        <v>0</v>
      </c>
      <c r="C3" s="29"/>
    </row>
    <row r="4" spans="1:3" s="28" customFormat="1" ht="15.75">
      <c r="A4" s="26"/>
      <c r="B4" s="27"/>
      <c r="C4" s="29"/>
    </row>
    <row r="5" spans="1:3" s="28" customFormat="1" ht="15.75">
      <c r="A5" s="26"/>
      <c r="B5" s="29"/>
      <c r="C5" s="29"/>
    </row>
    <row r="6" spans="1:3" s="28" customFormat="1" ht="15.75">
      <c r="A6" s="175" t="s">
        <v>511</v>
      </c>
      <c r="B6" s="175"/>
      <c r="C6" s="175"/>
    </row>
    <row r="7" s="28" customFormat="1" ht="15" customHeight="1">
      <c r="A7" s="26"/>
    </row>
    <row r="8" spans="1:3" ht="33.75" customHeight="1">
      <c r="A8" s="30" t="s">
        <v>1</v>
      </c>
      <c r="B8" s="30" t="s">
        <v>2</v>
      </c>
      <c r="C8" s="30" t="s">
        <v>3</v>
      </c>
    </row>
    <row r="9" spans="1:3" s="28" customFormat="1" ht="33" customHeight="1">
      <c r="A9" s="30" t="s">
        <v>4</v>
      </c>
      <c r="B9" s="31" t="s">
        <v>468</v>
      </c>
      <c r="C9" s="32">
        <f>SUM(C10:C17)</f>
        <v>20579000</v>
      </c>
    </row>
    <row r="10" spans="1:3" s="28" customFormat="1" ht="17.25" customHeight="1">
      <c r="A10" s="33" t="s">
        <v>5</v>
      </c>
      <c r="B10" s="34" t="s">
        <v>6</v>
      </c>
      <c r="C10" s="35">
        <v>19392000</v>
      </c>
    </row>
    <row r="11" spans="1:3" s="28" customFormat="1" ht="17.25" customHeight="1">
      <c r="A11" s="33" t="s">
        <v>7</v>
      </c>
      <c r="B11" s="34" t="s">
        <v>8</v>
      </c>
      <c r="C11" s="35">
        <v>625000</v>
      </c>
    </row>
    <row r="12" spans="1:3" s="28" customFormat="1" ht="17.25" customHeight="1">
      <c r="A12" s="33" t="s">
        <v>9</v>
      </c>
      <c r="B12" s="34" t="s">
        <v>10</v>
      </c>
      <c r="C12" s="35">
        <v>375000</v>
      </c>
    </row>
    <row r="13" spans="1:3" s="28" customFormat="1" ht="17.25" customHeight="1">
      <c r="A13" s="33" t="s">
        <v>11</v>
      </c>
      <c r="B13" s="34" t="s">
        <v>12</v>
      </c>
      <c r="C13" s="35">
        <v>11000</v>
      </c>
    </row>
    <row r="14" spans="1:3" s="28" customFormat="1" ht="30.75" customHeight="1">
      <c r="A14" s="33" t="s">
        <v>13</v>
      </c>
      <c r="B14" s="34" t="s">
        <v>15</v>
      </c>
      <c r="C14" s="35">
        <v>120000</v>
      </c>
    </row>
    <row r="15" spans="1:3" s="28" customFormat="1" ht="17.25" customHeight="1">
      <c r="A15" s="33" t="s">
        <v>14</v>
      </c>
      <c r="B15" s="34" t="s">
        <v>17</v>
      </c>
      <c r="C15" s="36">
        <v>44000</v>
      </c>
    </row>
    <row r="16" spans="1:3" s="28" customFormat="1" ht="17.25" customHeight="1">
      <c r="A16" s="33" t="s">
        <v>16</v>
      </c>
      <c r="B16" s="37" t="s">
        <v>19</v>
      </c>
      <c r="C16" s="38">
        <v>5000</v>
      </c>
    </row>
    <row r="17" spans="1:3" s="28" customFormat="1" ht="17.25" customHeight="1">
      <c r="A17" s="33" t="s">
        <v>18</v>
      </c>
      <c r="B17" s="34" t="s">
        <v>21</v>
      </c>
      <c r="C17" s="35">
        <v>7000</v>
      </c>
    </row>
    <row r="18" spans="1:3" s="28" customFormat="1" ht="17.25" customHeight="1">
      <c r="A18" s="30" t="s">
        <v>22</v>
      </c>
      <c r="B18" s="31" t="s">
        <v>23</v>
      </c>
      <c r="C18" s="32">
        <f>SUM(C19:C27)</f>
        <v>1822779</v>
      </c>
    </row>
    <row r="19" spans="1:3" s="28" customFormat="1" ht="17.25" customHeight="1">
      <c r="A19" s="33" t="s">
        <v>24</v>
      </c>
      <c r="B19" s="34" t="s">
        <v>25</v>
      </c>
      <c r="C19" s="35">
        <v>715000</v>
      </c>
    </row>
    <row r="20" spans="1:3" s="28" customFormat="1" ht="17.25" customHeight="1">
      <c r="A20" s="33" t="s">
        <v>26</v>
      </c>
      <c r="B20" s="34" t="s">
        <v>27</v>
      </c>
      <c r="C20" s="36">
        <v>5000</v>
      </c>
    </row>
    <row r="21" spans="1:3" s="28" customFormat="1" ht="17.25" customHeight="1">
      <c r="A21" s="33" t="s">
        <v>28</v>
      </c>
      <c r="B21" s="34" t="s">
        <v>29</v>
      </c>
      <c r="C21" s="35">
        <f>25000+40000</f>
        <v>65000</v>
      </c>
    </row>
    <row r="22" spans="1:3" s="28" customFormat="1" ht="17.25" customHeight="1">
      <c r="A22" s="33" t="s">
        <v>30</v>
      </c>
      <c r="B22" s="34" t="s">
        <v>31</v>
      </c>
      <c r="C22" s="35">
        <v>40000</v>
      </c>
    </row>
    <row r="23" spans="1:3" s="28" customFormat="1" ht="17.25" customHeight="1">
      <c r="A23" s="33" t="s">
        <v>32</v>
      </c>
      <c r="B23" s="34" t="s">
        <v>33</v>
      </c>
      <c r="C23" s="35">
        <v>33000</v>
      </c>
    </row>
    <row r="24" spans="1:5" s="28" customFormat="1" ht="17.25" customHeight="1">
      <c r="A24" s="33" t="s">
        <v>34</v>
      </c>
      <c r="B24" s="34" t="s">
        <v>35</v>
      </c>
      <c r="C24" s="35">
        <v>32000</v>
      </c>
      <c r="E24" s="40"/>
    </row>
    <row r="25" spans="1:5" s="28" customFormat="1" ht="17.25" customHeight="1">
      <c r="A25" s="33" t="s">
        <v>36</v>
      </c>
      <c r="B25" s="34" t="s">
        <v>37</v>
      </c>
      <c r="C25" s="35">
        <f>119552+25000</f>
        <v>144552</v>
      </c>
      <c r="E25" s="39"/>
    </row>
    <row r="26" spans="1:5" s="28" customFormat="1" ht="17.25" customHeight="1">
      <c r="A26" s="33" t="s">
        <v>38</v>
      </c>
      <c r="B26" s="34" t="s">
        <v>39</v>
      </c>
      <c r="C26" s="35">
        <v>115664</v>
      </c>
      <c r="E26" s="39"/>
    </row>
    <row r="27" spans="1:3" s="28" customFormat="1" ht="17.25" customHeight="1">
      <c r="A27" s="33" t="s">
        <v>40</v>
      </c>
      <c r="B27" s="124" t="s">
        <v>41</v>
      </c>
      <c r="C27" s="35">
        <v>672563</v>
      </c>
    </row>
    <row r="28" spans="1:3" s="28" customFormat="1" ht="17.25" customHeight="1">
      <c r="A28" s="30" t="s">
        <v>42</v>
      </c>
      <c r="B28" s="31" t="s">
        <v>43</v>
      </c>
      <c r="C28" s="32">
        <f>SUM(C29:C43)</f>
        <v>12770740</v>
      </c>
    </row>
    <row r="29" spans="1:3" s="28" customFormat="1" ht="17.25" customHeight="1">
      <c r="A29" s="33" t="s">
        <v>44</v>
      </c>
      <c r="B29" s="34" t="s">
        <v>45</v>
      </c>
      <c r="C29" s="35">
        <v>3301446</v>
      </c>
    </row>
    <row r="30" spans="1:3" s="28" customFormat="1" ht="17.25" customHeight="1">
      <c r="A30" s="33" t="s">
        <v>46</v>
      </c>
      <c r="B30" s="34" t="s">
        <v>469</v>
      </c>
      <c r="C30" s="35">
        <v>8420400</v>
      </c>
    </row>
    <row r="31" spans="1:3" s="28" customFormat="1" ht="17.25" customHeight="1">
      <c r="A31" s="33" t="s">
        <v>47</v>
      </c>
      <c r="B31" s="34" t="s">
        <v>48</v>
      </c>
      <c r="C31" s="35">
        <v>14900</v>
      </c>
    </row>
    <row r="32" spans="1:3" s="28" customFormat="1" ht="17.25" customHeight="1">
      <c r="A32" s="33" t="s">
        <v>49</v>
      </c>
      <c r="B32" s="34" t="s">
        <v>470</v>
      </c>
      <c r="C32" s="35">
        <v>131300</v>
      </c>
    </row>
    <row r="33" spans="1:3" s="28" customFormat="1" ht="17.25" customHeight="1">
      <c r="A33" s="33" t="s">
        <v>50</v>
      </c>
      <c r="B33" s="34" t="s">
        <v>512</v>
      </c>
      <c r="C33" s="35">
        <v>45094</v>
      </c>
    </row>
    <row r="34" spans="1:3" s="28" customFormat="1" ht="31.5" customHeight="1">
      <c r="A34" s="33" t="s">
        <v>51</v>
      </c>
      <c r="B34" s="34" t="s">
        <v>619</v>
      </c>
      <c r="C34" s="35">
        <f>51000+3000</f>
        <v>54000</v>
      </c>
    </row>
    <row r="35" spans="1:3" s="28" customFormat="1" ht="31.5" customHeight="1">
      <c r="A35" s="33" t="s">
        <v>52</v>
      </c>
      <c r="B35" s="34" t="s">
        <v>620</v>
      </c>
      <c r="C35" s="35">
        <f>45240+5079</f>
        <v>50319</v>
      </c>
    </row>
    <row r="36" spans="1:3" s="28" customFormat="1" ht="31.5" customHeight="1">
      <c r="A36" s="33" t="s">
        <v>463</v>
      </c>
      <c r="B36" s="34" t="s">
        <v>513</v>
      </c>
      <c r="C36" s="35">
        <f>55577+2400+75230</f>
        <v>133207</v>
      </c>
    </row>
    <row r="37" spans="1:3" s="28" customFormat="1" ht="17.25" customHeight="1">
      <c r="A37" s="33" t="s">
        <v>471</v>
      </c>
      <c r="B37" s="34" t="s">
        <v>514</v>
      </c>
      <c r="C37" s="35">
        <v>20000</v>
      </c>
    </row>
    <row r="38" spans="1:3" s="28" customFormat="1" ht="17.25" customHeight="1">
      <c r="A38" s="33" t="s">
        <v>516</v>
      </c>
      <c r="B38" s="34" t="s">
        <v>515</v>
      </c>
      <c r="C38" s="35">
        <v>30040</v>
      </c>
    </row>
    <row r="39" spans="1:3" s="28" customFormat="1" ht="17.25" customHeight="1">
      <c r="A39" s="33" t="s">
        <v>518</v>
      </c>
      <c r="B39" s="34" t="s">
        <v>517</v>
      </c>
      <c r="C39" s="35">
        <v>167000</v>
      </c>
    </row>
    <row r="40" spans="1:3" s="28" customFormat="1" ht="17.25" customHeight="1">
      <c r="A40" s="33" t="s">
        <v>520</v>
      </c>
      <c r="B40" s="34" t="s">
        <v>519</v>
      </c>
      <c r="C40" s="35">
        <v>233900</v>
      </c>
    </row>
    <row r="41" spans="1:3" s="28" customFormat="1" ht="17.25" customHeight="1">
      <c r="A41" s="33" t="s">
        <v>522</v>
      </c>
      <c r="B41" s="34" t="s">
        <v>521</v>
      </c>
      <c r="C41" s="35">
        <v>104275</v>
      </c>
    </row>
    <row r="42" spans="1:3" s="28" customFormat="1" ht="17.25" customHeight="1">
      <c r="A42" s="33" t="s">
        <v>524</v>
      </c>
      <c r="B42" s="34" t="s">
        <v>523</v>
      </c>
      <c r="C42" s="35">
        <v>23573</v>
      </c>
    </row>
    <row r="43" spans="1:3" s="28" customFormat="1" ht="17.25" customHeight="1">
      <c r="A43" s="33" t="s">
        <v>621</v>
      </c>
      <c r="B43" s="34" t="s">
        <v>527</v>
      </c>
      <c r="C43" s="35">
        <v>41286</v>
      </c>
    </row>
    <row r="44" spans="1:3" s="40" customFormat="1" ht="18.75" customHeight="1">
      <c r="A44" s="30" t="s">
        <v>54</v>
      </c>
      <c r="B44" s="31" t="s">
        <v>55</v>
      </c>
      <c r="C44" s="32">
        <f>618000+120000</f>
        <v>738000</v>
      </c>
    </row>
    <row r="45" spans="1:3" s="40" customFormat="1" ht="19.5" customHeight="1">
      <c r="A45" s="30" t="s">
        <v>56</v>
      </c>
      <c r="B45" s="31" t="s">
        <v>525</v>
      </c>
      <c r="C45" s="32">
        <f>SUM(C46:C50)</f>
        <v>2536572</v>
      </c>
    </row>
    <row r="46" spans="1:3" s="28" customFormat="1" ht="17.25" customHeight="1">
      <c r="A46" s="33" t="s">
        <v>57</v>
      </c>
      <c r="B46" s="34" t="s">
        <v>58</v>
      </c>
      <c r="C46" s="125">
        <v>365027</v>
      </c>
    </row>
    <row r="47" spans="1:3" s="40" customFormat="1" ht="17.25" customHeight="1">
      <c r="A47" s="33" t="s">
        <v>59</v>
      </c>
      <c r="B47" s="34" t="s">
        <v>60</v>
      </c>
      <c r="C47" s="125">
        <v>562423</v>
      </c>
    </row>
    <row r="48" spans="1:3" s="40" customFormat="1" ht="17.25" customHeight="1">
      <c r="A48" s="33" t="s">
        <v>61</v>
      </c>
      <c r="B48" s="34" t="s">
        <v>62</v>
      </c>
      <c r="C48" s="125">
        <f>27701+80000+1135567</f>
        <v>1243268</v>
      </c>
    </row>
    <row r="49" spans="1:3" s="40" customFormat="1" ht="17.25" customHeight="1">
      <c r="A49" s="33" t="s">
        <v>464</v>
      </c>
      <c r="B49" s="34" t="s">
        <v>53</v>
      </c>
      <c r="C49" s="125">
        <v>297039</v>
      </c>
    </row>
    <row r="50" spans="1:3" s="40" customFormat="1" ht="17.25" customHeight="1">
      <c r="A50" s="33" t="s">
        <v>63</v>
      </c>
      <c r="B50" s="34" t="s">
        <v>64</v>
      </c>
      <c r="C50" s="125">
        <v>68815</v>
      </c>
    </row>
    <row r="51" spans="1:3" s="40" customFormat="1" ht="17.25" customHeight="1">
      <c r="A51" s="30"/>
      <c r="B51" s="31" t="s">
        <v>65</v>
      </c>
      <c r="C51" s="32">
        <f>C9+C18+C28+C44+C45</f>
        <v>38447091</v>
      </c>
    </row>
    <row r="52" spans="1:3" s="13" customFormat="1" ht="13.5" customHeight="1">
      <c r="A52" s="41"/>
      <c r="B52" s="42"/>
      <c r="C52" s="43"/>
    </row>
    <row r="53" ht="14.25">
      <c r="B53" s="21"/>
    </row>
    <row r="54" spans="1:2" s="111" customFormat="1" ht="14.25">
      <c r="A54" s="112"/>
      <c r="B54" s="111" t="s">
        <v>526</v>
      </c>
    </row>
  </sheetData>
  <sheetProtection/>
  <mergeCells count="3">
    <mergeCell ref="B1:C1"/>
    <mergeCell ref="B2:C2"/>
    <mergeCell ref="A6:C6"/>
  </mergeCells>
  <printOptions/>
  <pageMargins left="0.7086614173228347" right="0" top="0.5511811023622047" bottom="0.35433070866141736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3">
      <selection activeCell="G43" sqref="G43"/>
    </sheetView>
  </sheetViews>
  <sheetFormatPr defaultColWidth="9.140625" defaultRowHeight="15"/>
  <cols>
    <col min="1" max="1" width="6.00390625" style="1" customWidth="1"/>
    <col min="2" max="2" width="71.00390625" style="2" customWidth="1"/>
    <col min="3" max="3" width="15.00390625" style="3" customWidth="1"/>
    <col min="4" max="4" width="4.00390625" style="2" customWidth="1"/>
    <col min="5" max="5" width="11.140625" style="2" customWidth="1"/>
    <col min="6" max="16384" width="9.140625" style="2" customWidth="1"/>
  </cols>
  <sheetData>
    <row r="1" spans="1:3" s="28" customFormat="1" ht="15.75">
      <c r="A1" s="44"/>
      <c r="B1" s="174" t="s">
        <v>509</v>
      </c>
      <c r="C1" s="174"/>
    </row>
    <row r="2" spans="1:3" s="28" customFormat="1" ht="15.75">
      <c r="A2" s="44"/>
      <c r="B2" s="174" t="s">
        <v>510</v>
      </c>
      <c r="C2" s="174"/>
    </row>
    <row r="3" spans="1:3" s="28" customFormat="1" ht="15.75">
      <c r="A3" s="44"/>
      <c r="B3" s="27" t="s">
        <v>528</v>
      </c>
      <c r="C3" s="45"/>
    </row>
    <row r="4" spans="1:3" s="28" customFormat="1" ht="16.5" customHeight="1">
      <c r="A4" s="44"/>
      <c r="B4" s="29"/>
      <c r="C4" s="45"/>
    </row>
    <row r="5" spans="1:3" s="28" customFormat="1" ht="18.75" customHeight="1">
      <c r="A5" s="44"/>
      <c r="B5" s="46"/>
      <c r="C5" s="47"/>
    </row>
    <row r="6" spans="1:3" s="28" customFormat="1" ht="31.5" customHeight="1">
      <c r="A6" s="176" t="s">
        <v>529</v>
      </c>
      <c r="B6" s="176"/>
      <c r="C6" s="176"/>
    </row>
    <row r="7" spans="1:3" s="28" customFormat="1" ht="20.25" customHeight="1">
      <c r="A7" s="44"/>
      <c r="C7" s="48"/>
    </row>
    <row r="8" spans="1:3" s="28" customFormat="1" ht="29.25" customHeight="1">
      <c r="A8" s="30" t="s">
        <v>1</v>
      </c>
      <c r="B8" s="30" t="s">
        <v>66</v>
      </c>
      <c r="C8" s="30" t="s">
        <v>3</v>
      </c>
    </row>
    <row r="9" spans="1:3" s="28" customFormat="1" ht="16.5" customHeight="1">
      <c r="A9" s="30" t="s">
        <v>4</v>
      </c>
      <c r="B9" s="126" t="s">
        <v>67</v>
      </c>
      <c r="C9" s="32">
        <f>SUM(C10:C17)</f>
        <v>38447091</v>
      </c>
    </row>
    <row r="10" spans="1:3" s="28" customFormat="1" ht="16.5" customHeight="1">
      <c r="A10" s="33" t="s">
        <v>5</v>
      </c>
      <c r="B10" s="127" t="s">
        <v>68</v>
      </c>
      <c r="C10" s="35">
        <f>4676201+120000+618000</f>
        <v>5414201</v>
      </c>
    </row>
    <row r="11" spans="1:3" s="28" customFormat="1" ht="16.5" customHeight="1">
      <c r="A11" s="33" t="s">
        <v>7</v>
      </c>
      <c r="B11" s="127" t="s">
        <v>69</v>
      </c>
      <c r="C11" s="35">
        <f>296000</f>
        <v>296000</v>
      </c>
    </row>
    <row r="12" spans="1:3" s="28" customFormat="1" ht="16.5" customHeight="1">
      <c r="A12" s="33" t="s">
        <v>9</v>
      </c>
      <c r="B12" s="127" t="s">
        <v>70</v>
      </c>
      <c r="C12" s="35">
        <f>422860</f>
        <v>422860</v>
      </c>
    </row>
    <row r="13" spans="1:3" s="28" customFormat="1" ht="16.5" customHeight="1">
      <c r="A13" s="33" t="s">
        <v>11</v>
      </c>
      <c r="B13" s="127" t="s">
        <v>71</v>
      </c>
      <c r="C13" s="35">
        <f>3752944</f>
        <v>3752944</v>
      </c>
    </row>
    <row r="14" spans="1:3" s="28" customFormat="1" ht="16.5" customHeight="1">
      <c r="A14" s="33" t="s">
        <v>13</v>
      </c>
      <c r="B14" s="127" t="s">
        <v>72</v>
      </c>
      <c r="C14" s="35">
        <f>1592061</f>
        <v>1592061</v>
      </c>
    </row>
    <row r="15" spans="1:3" s="28" customFormat="1" ht="16.5" customHeight="1">
      <c r="A15" s="33" t="s">
        <v>14</v>
      </c>
      <c r="B15" s="127" t="s">
        <v>73</v>
      </c>
      <c r="C15" s="35">
        <f>3767280</f>
        <v>3767280</v>
      </c>
    </row>
    <row r="16" spans="1:3" s="28" customFormat="1" ht="16.5" customHeight="1">
      <c r="A16" s="33" t="s">
        <v>16</v>
      </c>
      <c r="B16" s="127" t="s">
        <v>74</v>
      </c>
      <c r="C16" s="35">
        <f>16189773</f>
        <v>16189773</v>
      </c>
    </row>
    <row r="17" spans="1:5" s="28" customFormat="1" ht="16.5" customHeight="1">
      <c r="A17" s="33" t="s">
        <v>18</v>
      </c>
      <c r="B17" s="127" t="s">
        <v>75</v>
      </c>
      <c r="C17" s="35">
        <f>7011972</f>
        <v>7011972</v>
      </c>
      <c r="E17" s="194"/>
    </row>
    <row r="18" spans="1:5" ht="16.5" customHeight="1">
      <c r="A18" s="30" t="s">
        <v>22</v>
      </c>
      <c r="B18" s="31" t="s">
        <v>76</v>
      </c>
      <c r="C18" s="32">
        <f>22257295+618000</f>
        <v>22875295</v>
      </c>
      <c r="E18" s="43"/>
    </row>
    <row r="19" spans="1:5" ht="16.5" customHeight="1">
      <c r="A19" s="33" t="s">
        <v>24</v>
      </c>
      <c r="B19" s="34" t="s">
        <v>78</v>
      </c>
      <c r="C19" s="35">
        <f>12350155</f>
        <v>12350155</v>
      </c>
      <c r="E19" s="195"/>
    </row>
    <row r="20" spans="1:3" s="28" customFormat="1" ht="31.5">
      <c r="A20" s="30" t="s">
        <v>42</v>
      </c>
      <c r="B20" s="31" t="s">
        <v>81</v>
      </c>
      <c r="C20" s="32">
        <f>3301446</f>
        <v>3301446</v>
      </c>
    </row>
    <row r="21" spans="1:3" ht="16.5" customHeight="1">
      <c r="A21" s="33" t="s">
        <v>44</v>
      </c>
      <c r="B21" s="34" t="s">
        <v>78</v>
      </c>
      <c r="C21" s="35">
        <f>1532355</f>
        <v>1532355</v>
      </c>
    </row>
    <row r="22" spans="1:3" ht="16.5" customHeight="1">
      <c r="A22" s="33" t="s">
        <v>47</v>
      </c>
      <c r="B22" s="34" t="s">
        <v>79</v>
      </c>
      <c r="C22" s="35"/>
    </row>
    <row r="23" spans="1:3" s="28" customFormat="1" ht="16.5" customHeight="1">
      <c r="A23" s="30" t="s">
        <v>54</v>
      </c>
      <c r="B23" s="31" t="s">
        <v>82</v>
      </c>
      <c r="C23" s="32">
        <f>8420400</f>
        <v>8420400</v>
      </c>
    </row>
    <row r="24" spans="1:5" s="28" customFormat="1" ht="16.5" customHeight="1">
      <c r="A24" s="33" t="s">
        <v>83</v>
      </c>
      <c r="B24" s="34" t="s">
        <v>78</v>
      </c>
      <c r="C24" s="35">
        <v>8093032</v>
      </c>
      <c r="E24" s="194"/>
    </row>
    <row r="25" spans="1:5" s="28" customFormat="1" ht="16.5" customHeight="1">
      <c r="A25" s="30" t="s">
        <v>56</v>
      </c>
      <c r="B25" s="31" t="s">
        <v>530</v>
      </c>
      <c r="C25" s="32">
        <f>738000</f>
        <v>738000</v>
      </c>
      <c r="E25" s="196"/>
    </row>
    <row r="26" spans="1:3" s="13" customFormat="1" ht="16.5" customHeight="1">
      <c r="A26" s="30" t="s">
        <v>86</v>
      </c>
      <c r="B26" s="31" t="s">
        <v>531</v>
      </c>
      <c r="C26" s="32">
        <f>394669</f>
        <v>394669</v>
      </c>
    </row>
    <row r="27" spans="1:3" s="13" customFormat="1" ht="16.5" customHeight="1">
      <c r="A27" s="30" t="s">
        <v>90</v>
      </c>
      <c r="B27" s="31" t="s">
        <v>532</v>
      </c>
      <c r="C27" s="32">
        <f>895687</f>
        <v>895687</v>
      </c>
    </row>
    <row r="28" spans="1:5" s="28" customFormat="1" ht="16.5" customHeight="1">
      <c r="A28" s="33" t="s">
        <v>92</v>
      </c>
      <c r="B28" s="34" t="s">
        <v>78</v>
      </c>
      <c r="C28" s="35">
        <f>114644</f>
        <v>114644</v>
      </c>
      <c r="E28" s="194"/>
    </row>
    <row r="29" spans="1:3" ht="32.25" customHeight="1">
      <c r="A29" s="30" t="s">
        <v>177</v>
      </c>
      <c r="B29" s="31" t="s">
        <v>91</v>
      </c>
      <c r="C29" s="32">
        <f>1821594</f>
        <v>1821594</v>
      </c>
    </row>
    <row r="30" spans="1:3" ht="16.5" customHeight="1">
      <c r="A30" s="33" t="s">
        <v>179</v>
      </c>
      <c r="B30" s="34" t="s">
        <v>78</v>
      </c>
      <c r="C30" s="35">
        <f>313653</f>
        <v>313653</v>
      </c>
    </row>
    <row r="31" spans="1:3" s="13" customFormat="1" ht="15.75" hidden="1">
      <c r="A31" s="15" t="s">
        <v>177</v>
      </c>
      <c r="B31" s="16" t="s">
        <v>411</v>
      </c>
      <c r="C31" s="17"/>
    </row>
    <row r="32" spans="1:3" ht="15.75" hidden="1">
      <c r="A32" s="18" t="s">
        <v>179</v>
      </c>
      <c r="B32" s="19" t="s">
        <v>77</v>
      </c>
      <c r="C32" s="20">
        <f>C31-C33</f>
        <v>0</v>
      </c>
    </row>
    <row r="33" spans="1:3" ht="15.75" hidden="1">
      <c r="A33" s="18" t="s">
        <v>181</v>
      </c>
      <c r="B33" s="19" t="s">
        <v>79</v>
      </c>
      <c r="C33" s="20"/>
    </row>
    <row r="34" ht="9" customHeight="1"/>
    <row r="35" spans="1:3" s="28" customFormat="1" ht="15.75">
      <c r="A35" s="44"/>
      <c r="B35" s="49"/>
      <c r="C35" s="50"/>
    </row>
    <row r="36" spans="1:3" s="28" customFormat="1" ht="15">
      <c r="A36" s="44"/>
      <c r="B36" s="110" t="s">
        <v>533</v>
      </c>
      <c r="C36" s="50"/>
    </row>
    <row r="37" spans="1:3" s="28" customFormat="1" ht="15.75">
      <c r="A37" s="44"/>
      <c r="B37" s="49"/>
      <c r="C37" s="51"/>
    </row>
  </sheetData>
  <sheetProtection/>
  <mergeCells count="3">
    <mergeCell ref="B1:C1"/>
    <mergeCell ref="B2:C2"/>
    <mergeCell ref="A6:C6"/>
  </mergeCells>
  <printOptions/>
  <pageMargins left="0.7086614173228347" right="0" top="0.6692913385826772" bottom="0.3937007874015748" header="0.31496062992125984" footer="0.3149606299212598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4"/>
  <sheetViews>
    <sheetView showZeros="0"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W12" sqref="W12"/>
    </sheetView>
  </sheetViews>
  <sheetFormatPr defaultColWidth="9.140625" defaultRowHeight="15" customHeight="1"/>
  <cols>
    <col min="1" max="1" width="5.28125" style="11" customWidth="1"/>
    <col min="2" max="2" width="50.8515625" style="12" customWidth="1"/>
    <col min="3" max="3" width="13.7109375" style="13" customWidth="1"/>
    <col min="4" max="4" width="12.8515625" style="2" customWidth="1"/>
    <col min="5" max="5" width="10.00390625" style="2" hidden="1" customWidth="1"/>
    <col min="6" max="6" width="13.7109375" style="13" customWidth="1"/>
    <col min="7" max="7" width="13.00390625" style="2" customWidth="1"/>
    <col min="8" max="8" width="9.8515625" style="2" hidden="1" customWidth="1"/>
    <col min="9" max="9" width="13.8515625" style="13" customWidth="1"/>
    <col min="10" max="10" width="13.421875" style="13" customWidth="1"/>
    <col min="11" max="11" width="9.8515625" style="2" hidden="1" customWidth="1"/>
    <col min="12" max="12" width="13.8515625" style="13" customWidth="1"/>
    <col min="13" max="13" width="13.140625" style="2" customWidth="1"/>
    <col min="14" max="14" width="9.7109375" style="2" hidden="1" customWidth="1"/>
    <col min="15" max="15" width="13.421875" style="2" customWidth="1"/>
    <col min="16" max="16" width="9.28125" style="171" hidden="1" customWidth="1"/>
    <col min="17" max="17" width="10.421875" style="171" hidden="1" customWidth="1"/>
    <col min="18" max="16384" width="9.140625" style="2" customWidth="1"/>
  </cols>
  <sheetData>
    <row r="1" spans="1:17" s="131" customFormat="1" ht="11.25" customHeight="1">
      <c r="A1" s="128"/>
      <c r="B1" s="129"/>
      <c r="C1" s="130"/>
      <c r="F1" s="130"/>
      <c r="I1" s="130"/>
      <c r="J1" s="130"/>
      <c r="K1" s="130"/>
      <c r="L1" s="130"/>
      <c r="P1" s="29"/>
      <c r="Q1" s="29"/>
    </row>
    <row r="2" spans="1:17" s="131" customFormat="1" ht="15" customHeight="1">
      <c r="A2" s="128"/>
      <c r="B2" s="129"/>
      <c r="C2" s="130"/>
      <c r="F2" s="130"/>
      <c r="I2" s="130"/>
      <c r="J2" s="131" t="s">
        <v>95</v>
      </c>
      <c r="K2" s="131" t="s">
        <v>95</v>
      </c>
      <c r="L2" s="130"/>
      <c r="P2" s="29"/>
      <c r="Q2" s="29"/>
    </row>
    <row r="3" spans="1:17" s="131" customFormat="1" ht="15" customHeight="1">
      <c r="A3" s="128"/>
      <c r="B3" s="129"/>
      <c r="C3" s="130"/>
      <c r="D3" s="130"/>
      <c r="F3" s="130"/>
      <c r="G3" s="130"/>
      <c r="I3" s="130"/>
      <c r="J3" s="131" t="s">
        <v>534</v>
      </c>
      <c r="K3" s="131" t="s">
        <v>534</v>
      </c>
      <c r="L3" s="130"/>
      <c r="M3" s="130"/>
      <c r="P3" s="29"/>
      <c r="Q3" s="29"/>
    </row>
    <row r="4" spans="1:17" s="131" customFormat="1" ht="15" customHeight="1">
      <c r="A4" s="128"/>
      <c r="B4" s="129"/>
      <c r="C4" s="130"/>
      <c r="F4" s="130"/>
      <c r="I4" s="130"/>
      <c r="J4" s="131" t="s">
        <v>96</v>
      </c>
      <c r="K4" s="131" t="s">
        <v>96</v>
      </c>
      <c r="L4" s="130"/>
      <c r="P4" s="29"/>
      <c r="Q4" s="29"/>
    </row>
    <row r="5" spans="1:17" s="131" customFormat="1" ht="12.75" customHeight="1">
      <c r="A5" s="128"/>
      <c r="B5" s="129"/>
      <c r="C5" s="130"/>
      <c r="F5" s="130"/>
      <c r="I5" s="130"/>
      <c r="J5" s="130"/>
      <c r="L5" s="130"/>
      <c r="P5" s="29"/>
      <c r="Q5" s="29"/>
    </row>
    <row r="6" spans="1:17" s="131" customFormat="1" ht="15" customHeight="1">
      <c r="A6" s="128"/>
      <c r="B6" s="188" t="s">
        <v>535</v>
      </c>
      <c r="C6" s="188"/>
      <c r="D6" s="188"/>
      <c r="E6" s="188"/>
      <c r="F6" s="188"/>
      <c r="G6" s="188"/>
      <c r="H6" s="188"/>
      <c r="I6" s="188"/>
      <c r="J6" s="188"/>
      <c r="K6" s="188"/>
      <c r="P6" s="29"/>
      <c r="Q6" s="29"/>
    </row>
    <row r="7" spans="1:17" s="131" customFormat="1" ht="11.25" customHeight="1">
      <c r="A7" s="128"/>
      <c r="B7" s="132"/>
      <c r="C7" s="130"/>
      <c r="D7" s="130"/>
      <c r="F7" s="130"/>
      <c r="G7" s="130"/>
      <c r="I7" s="130"/>
      <c r="J7" s="130"/>
      <c r="K7" s="130"/>
      <c r="L7" s="130"/>
      <c r="M7" s="130"/>
      <c r="O7" s="131" t="s">
        <v>97</v>
      </c>
      <c r="P7" s="29"/>
      <c r="Q7" s="29"/>
    </row>
    <row r="8" spans="1:17" s="133" customFormat="1" ht="49.5" customHeight="1">
      <c r="A8" s="190" t="s">
        <v>98</v>
      </c>
      <c r="B8" s="183" t="s">
        <v>99</v>
      </c>
      <c r="C8" s="186" t="s">
        <v>100</v>
      </c>
      <c r="D8" s="191"/>
      <c r="E8" s="187"/>
      <c r="F8" s="186" t="s">
        <v>101</v>
      </c>
      <c r="G8" s="191"/>
      <c r="H8" s="187"/>
      <c r="I8" s="186" t="s">
        <v>412</v>
      </c>
      <c r="J8" s="191"/>
      <c r="K8" s="187"/>
      <c r="L8" s="186" t="s">
        <v>102</v>
      </c>
      <c r="M8" s="191"/>
      <c r="N8" s="187"/>
      <c r="O8" s="183" t="s">
        <v>103</v>
      </c>
      <c r="P8" s="55"/>
      <c r="Q8" s="55"/>
    </row>
    <row r="9" spans="1:17" s="134" customFormat="1" ht="15" customHeight="1">
      <c r="A9" s="190"/>
      <c r="B9" s="185"/>
      <c r="C9" s="183" t="s">
        <v>104</v>
      </c>
      <c r="D9" s="186" t="s">
        <v>105</v>
      </c>
      <c r="E9" s="187"/>
      <c r="F9" s="183" t="s">
        <v>104</v>
      </c>
      <c r="G9" s="186" t="s">
        <v>105</v>
      </c>
      <c r="H9" s="187"/>
      <c r="I9" s="183" t="s">
        <v>104</v>
      </c>
      <c r="J9" s="186" t="s">
        <v>105</v>
      </c>
      <c r="K9" s="187"/>
      <c r="L9" s="183" t="s">
        <v>104</v>
      </c>
      <c r="M9" s="186" t="s">
        <v>105</v>
      </c>
      <c r="N9" s="187"/>
      <c r="O9" s="185"/>
      <c r="P9" s="55"/>
      <c r="Q9" s="55"/>
    </row>
    <row r="10" spans="1:17" s="134" customFormat="1" ht="15" customHeight="1">
      <c r="A10" s="190"/>
      <c r="B10" s="185"/>
      <c r="C10" s="185"/>
      <c r="D10" s="183" t="s">
        <v>536</v>
      </c>
      <c r="E10" s="183" t="s">
        <v>79</v>
      </c>
      <c r="F10" s="185"/>
      <c r="G10" s="183" t="s">
        <v>536</v>
      </c>
      <c r="H10" s="183" t="s">
        <v>79</v>
      </c>
      <c r="I10" s="185"/>
      <c r="J10" s="183" t="s">
        <v>536</v>
      </c>
      <c r="K10" s="183" t="s">
        <v>79</v>
      </c>
      <c r="L10" s="185"/>
      <c r="M10" s="183" t="s">
        <v>536</v>
      </c>
      <c r="N10" s="183" t="s">
        <v>79</v>
      </c>
      <c r="O10" s="185"/>
      <c r="P10" s="55"/>
      <c r="Q10" s="55"/>
    </row>
    <row r="11" spans="1:17" s="134" customFormat="1" ht="39" customHeight="1">
      <c r="A11" s="190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55"/>
      <c r="Q11" s="55"/>
    </row>
    <row r="12" spans="1:17" s="137" customFormat="1" ht="14.25" customHeight="1">
      <c r="A12" s="135">
        <v>1</v>
      </c>
      <c r="B12" s="136">
        <v>2</v>
      </c>
      <c r="C12" s="135">
        <v>3</v>
      </c>
      <c r="D12" s="135">
        <v>4</v>
      </c>
      <c r="E12" s="135">
        <v>5</v>
      </c>
      <c r="F12" s="135">
        <v>6</v>
      </c>
      <c r="G12" s="135">
        <v>7</v>
      </c>
      <c r="H12" s="135">
        <v>8</v>
      </c>
      <c r="I12" s="135">
        <v>9</v>
      </c>
      <c r="J12" s="135">
        <v>10</v>
      </c>
      <c r="K12" s="135">
        <v>11</v>
      </c>
      <c r="L12" s="135">
        <v>12</v>
      </c>
      <c r="M12" s="135">
        <v>13</v>
      </c>
      <c r="N12" s="135">
        <v>14</v>
      </c>
      <c r="O12" s="135">
        <v>15</v>
      </c>
      <c r="P12" s="57"/>
      <c r="Q12" s="57"/>
    </row>
    <row r="13" spans="1:17" s="60" customFormat="1" ht="15" customHeight="1">
      <c r="A13" s="59"/>
      <c r="B13" s="180" t="s">
        <v>106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2"/>
      <c r="P13" s="29"/>
      <c r="Q13" s="29"/>
    </row>
    <row r="14" spans="1:18" s="138" customFormat="1" ht="15.75" customHeight="1">
      <c r="A14" s="59"/>
      <c r="B14" s="61" t="s">
        <v>107</v>
      </c>
      <c r="C14" s="62">
        <f aca="true" t="shared" si="0" ref="C14:N14">C15+C16+C45+C48</f>
        <v>4149675</v>
      </c>
      <c r="D14" s="62">
        <f t="shared" si="0"/>
        <v>3053980</v>
      </c>
      <c r="E14" s="62">
        <f t="shared" si="0"/>
        <v>332500</v>
      </c>
      <c r="F14" s="62">
        <f t="shared" si="0"/>
        <v>390640</v>
      </c>
      <c r="G14" s="62">
        <f t="shared" si="0"/>
        <v>348415</v>
      </c>
      <c r="H14" s="62">
        <f t="shared" si="0"/>
        <v>0</v>
      </c>
      <c r="I14" s="62">
        <f t="shared" si="0"/>
        <v>0</v>
      </c>
      <c r="J14" s="62">
        <f t="shared" si="0"/>
        <v>0</v>
      </c>
      <c r="K14" s="62">
        <f t="shared" si="0"/>
        <v>0</v>
      </c>
      <c r="L14" s="62">
        <f t="shared" si="0"/>
        <v>135886</v>
      </c>
      <c r="M14" s="62">
        <f t="shared" si="0"/>
        <v>17600</v>
      </c>
      <c r="N14" s="62">
        <f t="shared" si="0"/>
        <v>13700</v>
      </c>
      <c r="O14" s="59">
        <f aca="true" t="shared" si="1" ref="O14:O51">C14+F14+I14+L14</f>
        <v>4676201</v>
      </c>
      <c r="P14" s="67">
        <v>120000</v>
      </c>
      <c r="Q14" s="67">
        <f>O14+P14</f>
        <v>4796201</v>
      </c>
      <c r="R14" s="67"/>
    </row>
    <row r="15" spans="1:17" s="60" customFormat="1" ht="15.75" customHeight="1">
      <c r="A15" s="59" t="s">
        <v>4</v>
      </c>
      <c r="B15" s="61" t="s">
        <v>108</v>
      </c>
      <c r="C15" s="62">
        <v>56700</v>
      </c>
      <c r="D15" s="62">
        <v>54280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59">
        <f t="shared" si="1"/>
        <v>56700</v>
      </c>
      <c r="P15" s="29"/>
      <c r="Q15" s="29"/>
    </row>
    <row r="16" spans="1:17" s="60" customFormat="1" ht="16.5" customHeight="1">
      <c r="A16" s="59" t="s">
        <v>22</v>
      </c>
      <c r="B16" s="61" t="s">
        <v>109</v>
      </c>
      <c r="C16" s="62">
        <f aca="true" t="shared" si="2" ref="C16:N16">SUM(C17:C44)</f>
        <v>3548975</v>
      </c>
      <c r="D16" s="62">
        <f t="shared" si="2"/>
        <v>2999700</v>
      </c>
      <c r="E16" s="62">
        <f t="shared" si="2"/>
        <v>52500</v>
      </c>
      <c r="F16" s="62">
        <f>SUM(F17:F44)</f>
        <v>390640</v>
      </c>
      <c r="G16" s="62">
        <f t="shared" si="2"/>
        <v>348415</v>
      </c>
      <c r="H16" s="62">
        <f t="shared" si="2"/>
        <v>0</v>
      </c>
      <c r="I16" s="62">
        <f t="shared" si="2"/>
        <v>0</v>
      </c>
      <c r="J16" s="62">
        <f t="shared" si="2"/>
        <v>0</v>
      </c>
      <c r="K16" s="62">
        <f t="shared" si="2"/>
        <v>0</v>
      </c>
      <c r="L16" s="62">
        <f t="shared" si="2"/>
        <v>135886</v>
      </c>
      <c r="M16" s="62">
        <f t="shared" si="2"/>
        <v>17600</v>
      </c>
      <c r="N16" s="62">
        <f t="shared" si="2"/>
        <v>13700</v>
      </c>
      <c r="O16" s="59">
        <f t="shared" si="1"/>
        <v>4075501</v>
      </c>
      <c r="P16" s="29"/>
      <c r="Q16" s="29"/>
    </row>
    <row r="17" spans="1:17" s="52" customFormat="1" ht="15" customHeight="1">
      <c r="A17" s="63" t="s">
        <v>24</v>
      </c>
      <c r="B17" s="139" t="s">
        <v>110</v>
      </c>
      <c r="C17" s="59">
        <f>336900-7000</f>
        <v>329900</v>
      </c>
      <c r="D17" s="64">
        <v>285000</v>
      </c>
      <c r="E17" s="64"/>
      <c r="F17" s="59"/>
      <c r="G17" s="64"/>
      <c r="H17" s="64"/>
      <c r="I17" s="59"/>
      <c r="J17" s="59"/>
      <c r="K17" s="64"/>
      <c r="L17" s="59"/>
      <c r="M17" s="64"/>
      <c r="N17" s="64"/>
      <c r="O17" s="59">
        <f t="shared" si="1"/>
        <v>329900</v>
      </c>
      <c r="P17" s="29"/>
      <c r="Q17" s="29"/>
    </row>
    <row r="18" spans="1:17" s="52" customFormat="1" ht="15" customHeight="1">
      <c r="A18" s="63" t="s">
        <v>26</v>
      </c>
      <c r="B18" s="139" t="s">
        <v>111</v>
      </c>
      <c r="C18" s="59">
        <v>7000</v>
      </c>
      <c r="D18" s="64"/>
      <c r="E18" s="64"/>
      <c r="F18" s="59"/>
      <c r="G18" s="64"/>
      <c r="H18" s="64"/>
      <c r="I18" s="59"/>
      <c r="J18" s="59"/>
      <c r="K18" s="64"/>
      <c r="L18" s="59"/>
      <c r="M18" s="64"/>
      <c r="N18" s="64"/>
      <c r="O18" s="59">
        <f t="shared" si="1"/>
        <v>7000</v>
      </c>
      <c r="P18" s="29"/>
      <c r="Q18" s="29"/>
    </row>
    <row r="19" spans="1:17" s="52" customFormat="1" ht="29.25" customHeight="1">
      <c r="A19" s="63" t="s">
        <v>28</v>
      </c>
      <c r="B19" s="139" t="s">
        <v>112</v>
      </c>
      <c r="C19" s="59">
        <f>1760300+335900</f>
        <v>2096200</v>
      </c>
      <c r="D19" s="64">
        <f>1481000+315000</f>
        <v>1796000</v>
      </c>
      <c r="E19" s="64">
        <v>32500</v>
      </c>
      <c r="F19" s="59">
        <v>101446</v>
      </c>
      <c r="G19" s="64">
        <v>92895</v>
      </c>
      <c r="H19" s="64"/>
      <c r="I19" s="59"/>
      <c r="J19" s="59"/>
      <c r="K19" s="64"/>
      <c r="L19" s="59">
        <f>30000+25000+5000</f>
        <v>60000</v>
      </c>
      <c r="M19" s="64"/>
      <c r="N19" s="64">
        <v>5000</v>
      </c>
      <c r="O19" s="59">
        <f t="shared" si="1"/>
        <v>2257646</v>
      </c>
      <c r="P19" s="29"/>
      <c r="Q19" s="29"/>
    </row>
    <row r="20" spans="1:17" s="52" customFormat="1" ht="15" customHeight="1">
      <c r="A20" s="63" t="s">
        <v>30</v>
      </c>
      <c r="B20" s="139" t="s">
        <v>113</v>
      </c>
      <c r="C20" s="59"/>
      <c r="D20" s="64"/>
      <c r="E20" s="64"/>
      <c r="F20" s="59">
        <v>12100</v>
      </c>
      <c r="G20" s="64">
        <v>10600</v>
      </c>
      <c r="H20" s="64"/>
      <c r="I20" s="59"/>
      <c r="J20" s="59"/>
      <c r="K20" s="64"/>
      <c r="L20" s="59"/>
      <c r="M20" s="64"/>
      <c r="N20" s="64"/>
      <c r="O20" s="59">
        <f t="shared" si="1"/>
        <v>12100</v>
      </c>
      <c r="P20" s="29"/>
      <c r="Q20" s="29"/>
    </row>
    <row r="21" spans="1:17" s="52" customFormat="1" ht="15" customHeight="1">
      <c r="A21" s="63" t="s">
        <v>32</v>
      </c>
      <c r="B21" s="139" t="s">
        <v>114</v>
      </c>
      <c r="C21" s="59"/>
      <c r="D21" s="64"/>
      <c r="E21" s="64"/>
      <c r="F21" s="59">
        <v>22800</v>
      </c>
      <c r="G21" s="64">
        <v>16100</v>
      </c>
      <c r="H21" s="64"/>
      <c r="I21" s="59"/>
      <c r="J21" s="59"/>
      <c r="K21" s="64"/>
      <c r="L21" s="59"/>
      <c r="M21" s="64"/>
      <c r="N21" s="64"/>
      <c r="O21" s="59">
        <f t="shared" si="1"/>
        <v>22800</v>
      </c>
      <c r="P21" s="29"/>
      <c r="Q21" s="29"/>
    </row>
    <row r="22" spans="1:17" s="52" customFormat="1" ht="15" customHeight="1">
      <c r="A22" s="63" t="s">
        <v>34</v>
      </c>
      <c r="B22" s="139" t="s">
        <v>115</v>
      </c>
      <c r="C22" s="59"/>
      <c r="D22" s="64"/>
      <c r="E22" s="64"/>
      <c r="F22" s="59">
        <v>192000</v>
      </c>
      <c r="G22" s="64">
        <v>175000</v>
      </c>
      <c r="H22" s="64"/>
      <c r="I22" s="59"/>
      <c r="J22" s="59"/>
      <c r="K22" s="64"/>
      <c r="L22" s="59"/>
      <c r="M22" s="64"/>
      <c r="N22" s="64"/>
      <c r="O22" s="59">
        <f t="shared" si="1"/>
        <v>192000</v>
      </c>
      <c r="P22" s="29"/>
      <c r="Q22" s="29"/>
    </row>
    <row r="23" spans="1:17" s="52" customFormat="1" ht="15" customHeight="1">
      <c r="A23" s="66" t="s">
        <v>36</v>
      </c>
      <c r="B23" s="139" t="s">
        <v>118</v>
      </c>
      <c r="C23" s="59"/>
      <c r="D23" s="64"/>
      <c r="E23" s="64"/>
      <c r="F23" s="59">
        <v>15300</v>
      </c>
      <c r="G23" s="64">
        <v>13500</v>
      </c>
      <c r="H23" s="64"/>
      <c r="I23" s="59"/>
      <c r="J23" s="59"/>
      <c r="K23" s="64"/>
      <c r="L23" s="59"/>
      <c r="M23" s="64"/>
      <c r="N23" s="64"/>
      <c r="O23" s="59">
        <f>C23+F23+I23+L23</f>
        <v>15300</v>
      </c>
      <c r="P23" s="29"/>
      <c r="Q23" s="29"/>
    </row>
    <row r="24" spans="1:17" s="52" customFormat="1" ht="15" customHeight="1">
      <c r="A24" s="63" t="s">
        <v>38</v>
      </c>
      <c r="B24" s="139" t="s">
        <v>116</v>
      </c>
      <c r="C24" s="59"/>
      <c r="D24" s="64"/>
      <c r="E24" s="64"/>
      <c r="F24" s="59">
        <v>16000</v>
      </c>
      <c r="G24" s="64">
        <v>13800</v>
      </c>
      <c r="H24" s="64"/>
      <c r="I24" s="59"/>
      <c r="J24" s="59"/>
      <c r="K24" s="64"/>
      <c r="L24" s="59"/>
      <c r="M24" s="64"/>
      <c r="N24" s="64"/>
      <c r="O24" s="59">
        <f t="shared" si="1"/>
        <v>16000</v>
      </c>
      <c r="P24" s="29"/>
      <c r="Q24" s="29"/>
    </row>
    <row r="25" spans="1:17" s="52" customFormat="1" ht="15" customHeight="1">
      <c r="A25" s="63" t="s">
        <v>40</v>
      </c>
      <c r="B25" s="139" t="s">
        <v>537</v>
      </c>
      <c r="C25" s="59"/>
      <c r="D25" s="64"/>
      <c r="E25" s="64"/>
      <c r="F25" s="59">
        <v>15000</v>
      </c>
      <c r="G25" s="64">
        <v>14790</v>
      </c>
      <c r="H25" s="64"/>
      <c r="I25" s="59"/>
      <c r="J25" s="59"/>
      <c r="K25" s="64"/>
      <c r="L25" s="59"/>
      <c r="M25" s="64"/>
      <c r="N25" s="64"/>
      <c r="O25" s="59">
        <f t="shared" si="1"/>
        <v>15000</v>
      </c>
      <c r="P25" s="29"/>
      <c r="Q25" s="29"/>
    </row>
    <row r="26" spans="1:17" s="52" customFormat="1" ht="15" customHeight="1">
      <c r="A26" s="65" t="s">
        <v>117</v>
      </c>
      <c r="B26" s="139" t="s">
        <v>538</v>
      </c>
      <c r="C26" s="59"/>
      <c r="D26" s="64"/>
      <c r="E26" s="64"/>
      <c r="F26" s="59">
        <v>4100</v>
      </c>
      <c r="G26" s="64"/>
      <c r="H26" s="64"/>
      <c r="I26" s="59"/>
      <c r="J26" s="59"/>
      <c r="K26" s="64"/>
      <c r="L26" s="59"/>
      <c r="M26" s="64"/>
      <c r="N26" s="64"/>
      <c r="O26" s="59">
        <f>C26+F26+I26+L26</f>
        <v>4100</v>
      </c>
      <c r="P26" s="29"/>
      <c r="Q26" s="29"/>
    </row>
    <row r="27" spans="1:17" s="52" customFormat="1" ht="15" customHeight="1">
      <c r="A27" s="66" t="s">
        <v>119</v>
      </c>
      <c r="B27" s="139" t="s">
        <v>539</v>
      </c>
      <c r="C27" s="59"/>
      <c r="D27" s="64"/>
      <c r="E27" s="64"/>
      <c r="F27" s="59">
        <v>3939</v>
      </c>
      <c r="G27" s="64">
        <v>3883</v>
      </c>
      <c r="H27" s="64"/>
      <c r="I27" s="59"/>
      <c r="J27" s="59"/>
      <c r="K27" s="64"/>
      <c r="L27" s="59"/>
      <c r="M27" s="64"/>
      <c r="N27" s="64"/>
      <c r="O27" s="59">
        <f t="shared" si="1"/>
        <v>3939</v>
      </c>
      <c r="P27" s="29"/>
      <c r="Q27" s="29"/>
    </row>
    <row r="28" spans="1:17" s="52" customFormat="1" ht="15" customHeight="1">
      <c r="A28" s="66" t="s">
        <v>121</v>
      </c>
      <c r="B28" s="139" t="s">
        <v>540</v>
      </c>
      <c r="C28" s="59"/>
      <c r="D28" s="64"/>
      <c r="E28" s="64"/>
      <c r="F28" s="59">
        <v>3200</v>
      </c>
      <c r="G28" s="64">
        <v>3160</v>
      </c>
      <c r="H28" s="64"/>
      <c r="I28" s="59"/>
      <c r="J28" s="59"/>
      <c r="K28" s="64"/>
      <c r="L28" s="59"/>
      <c r="M28" s="64"/>
      <c r="N28" s="64"/>
      <c r="O28" s="59">
        <f t="shared" si="1"/>
        <v>3200</v>
      </c>
      <c r="P28" s="29"/>
      <c r="Q28" s="29"/>
    </row>
    <row r="29" spans="1:17" s="52" customFormat="1" ht="15.75" customHeight="1">
      <c r="A29" s="65" t="s">
        <v>123</v>
      </c>
      <c r="B29" s="139" t="s">
        <v>541</v>
      </c>
      <c r="C29" s="59"/>
      <c r="D29" s="64"/>
      <c r="E29" s="64"/>
      <c r="F29" s="59">
        <v>2045</v>
      </c>
      <c r="G29" s="64">
        <v>2015</v>
      </c>
      <c r="H29" s="64"/>
      <c r="I29" s="59"/>
      <c r="J29" s="59"/>
      <c r="K29" s="64"/>
      <c r="L29" s="59"/>
      <c r="M29" s="64"/>
      <c r="N29" s="64"/>
      <c r="O29" s="59">
        <f>C29+F29+I29+L29</f>
        <v>2045</v>
      </c>
      <c r="P29" s="29"/>
      <c r="Q29" s="29"/>
    </row>
    <row r="30" spans="1:17" s="52" customFormat="1" ht="15.75" customHeight="1">
      <c r="A30" s="65" t="s">
        <v>125</v>
      </c>
      <c r="B30" s="139" t="s">
        <v>542</v>
      </c>
      <c r="C30" s="59"/>
      <c r="D30" s="64"/>
      <c r="E30" s="64"/>
      <c r="F30" s="59">
        <v>1587</v>
      </c>
      <c r="G30" s="64">
        <v>1565</v>
      </c>
      <c r="H30" s="64"/>
      <c r="I30" s="59"/>
      <c r="J30" s="59"/>
      <c r="K30" s="64"/>
      <c r="L30" s="59"/>
      <c r="M30" s="64"/>
      <c r="N30" s="64"/>
      <c r="O30" s="59">
        <f>C30+F30+I30+L30</f>
        <v>1587</v>
      </c>
      <c r="P30" s="29"/>
      <c r="Q30" s="29"/>
    </row>
    <row r="31" spans="1:17" s="52" customFormat="1" ht="15" customHeight="1">
      <c r="A31" s="65" t="s">
        <v>127</v>
      </c>
      <c r="B31" s="139" t="s">
        <v>543</v>
      </c>
      <c r="C31" s="59"/>
      <c r="D31" s="64"/>
      <c r="E31" s="64"/>
      <c r="F31" s="59">
        <v>1123</v>
      </c>
      <c r="G31" s="64">
        <v>1107</v>
      </c>
      <c r="H31" s="64"/>
      <c r="I31" s="59"/>
      <c r="J31" s="59"/>
      <c r="K31" s="64"/>
      <c r="L31" s="59"/>
      <c r="M31" s="64"/>
      <c r="N31" s="64"/>
      <c r="O31" s="59">
        <f t="shared" si="1"/>
        <v>1123</v>
      </c>
      <c r="P31" s="29"/>
      <c r="Q31" s="29"/>
    </row>
    <row r="32" spans="1:17" s="52" customFormat="1" ht="15" customHeight="1">
      <c r="A32" s="65" t="s">
        <v>129</v>
      </c>
      <c r="B32" s="139" t="s">
        <v>120</v>
      </c>
      <c r="C32" s="59">
        <v>90900</v>
      </c>
      <c r="D32" s="64">
        <v>81800</v>
      </c>
      <c r="E32" s="64"/>
      <c r="F32" s="64"/>
      <c r="G32" s="64"/>
      <c r="H32" s="64"/>
      <c r="I32" s="64"/>
      <c r="J32" s="64"/>
      <c r="K32" s="64"/>
      <c r="L32" s="59">
        <v>2550</v>
      </c>
      <c r="M32" s="64"/>
      <c r="N32" s="64"/>
      <c r="O32" s="59">
        <f t="shared" si="1"/>
        <v>93450</v>
      </c>
      <c r="P32" s="29"/>
      <c r="Q32" s="29"/>
    </row>
    <row r="33" spans="1:17" s="52" customFormat="1" ht="15" customHeight="1">
      <c r="A33" s="65" t="s">
        <v>131</v>
      </c>
      <c r="B33" s="139" t="s">
        <v>122</v>
      </c>
      <c r="C33" s="59">
        <v>89900</v>
      </c>
      <c r="D33" s="64">
        <v>66200</v>
      </c>
      <c r="E33" s="64"/>
      <c r="F33" s="64"/>
      <c r="G33" s="64"/>
      <c r="H33" s="64"/>
      <c r="I33" s="64"/>
      <c r="J33" s="64"/>
      <c r="K33" s="64"/>
      <c r="L33" s="59"/>
      <c r="M33" s="64"/>
      <c r="N33" s="64"/>
      <c r="O33" s="59">
        <f t="shared" si="1"/>
        <v>89900</v>
      </c>
      <c r="P33" s="29"/>
      <c r="Q33" s="29"/>
    </row>
    <row r="34" spans="1:17" s="52" customFormat="1" ht="15" customHeight="1">
      <c r="A34" s="65" t="s">
        <v>133</v>
      </c>
      <c r="B34" s="139" t="s">
        <v>124</v>
      </c>
      <c r="C34" s="59">
        <v>54700</v>
      </c>
      <c r="D34" s="64">
        <v>44100</v>
      </c>
      <c r="E34" s="64"/>
      <c r="F34" s="64"/>
      <c r="G34" s="64"/>
      <c r="H34" s="64"/>
      <c r="I34" s="64"/>
      <c r="J34" s="64"/>
      <c r="K34" s="64"/>
      <c r="L34" s="59">
        <v>930</v>
      </c>
      <c r="M34" s="64"/>
      <c r="N34" s="64"/>
      <c r="O34" s="59">
        <f t="shared" si="1"/>
        <v>55630</v>
      </c>
      <c r="P34" s="29"/>
      <c r="Q34" s="29"/>
    </row>
    <row r="35" spans="1:17" s="54" customFormat="1" ht="15" customHeight="1">
      <c r="A35" s="65" t="s">
        <v>135</v>
      </c>
      <c r="B35" s="139" t="s">
        <v>126</v>
      </c>
      <c r="C35" s="59">
        <v>98710</v>
      </c>
      <c r="D35" s="64">
        <v>89500</v>
      </c>
      <c r="E35" s="64"/>
      <c r="F35" s="64"/>
      <c r="G35" s="64"/>
      <c r="H35" s="64"/>
      <c r="I35" s="64"/>
      <c r="J35" s="64"/>
      <c r="K35" s="64"/>
      <c r="L35" s="59"/>
      <c r="M35" s="64"/>
      <c r="N35" s="64"/>
      <c r="O35" s="59">
        <f t="shared" si="1"/>
        <v>98710</v>
      </c>
      <c r="P35" s="29"/>
      <c r="Q35" s="29"/>
    </row>
    <row r="36" spans="1:17" s="52" customFormat="1" ht="15" customHeight="1">
      <c r="A36" s="65" t="s">
        <v>137</v>
      </c>
      <c r="B36" s="139" t="s">
        <v>128</v>
      </c>
      <c r="C36" s="59">
        <v>107995</v>
      </c>
      <c r="D36" s="64">
        <v>96600</v>
      </c>
      <c r="E36" s="64"/>
      <c r="F36" s="64"/>
      <c r="G36" s="64"/>
      <c r="H36" s="64"/>
      <c r="I36" s="64"/>
      <c r="J36" s="64"/>
      <c r="K36" s="64"/>
      <c r="L36" s="59">
        <f>3380+56100</f>
        <v>59480</v>
      </c>
      <c r="M36" s="64">
        <v>17600</v>
      </c>
      <c r="N36" s="64">
        <v>8700</v>
      </c>
      <c r="O36" s="59">
        <f t="shared" si="1"/>
        <v>167475</v>
      </c>
      <c r="P36" s="29"/>
      <c r="Q36" s="29"/>
    </row>
    <row r="37" spans="1:17" s="52" customFormat="1" ht="15" customHeight="1">
      <c r="A37" s="65" t="s">
        <v>139</v>
      </c>
      <c r="B37" s="139" t="s">
        <v>130</v>
      </c>
      <c r="C37" s="59">
        <v>89700</v>
      </c>
      <c r="D37" s="64">
        <v>80800</v>
      </c>
      <c r="E37" s="64"/>
      <c r="F37" s="64"/>
      <c r="G37" s="64"/>
      <c r="H37" s="64"/>
      <c r="I37" s="64"/>
      <c r="J37" s="64"/>
      <c r="K37" s="64"/>
      <c r="L37" s="59">
        <v>3300</v>
      </c>
      <c r="M37" s="64"/>
      <c r="N37" s="64"/>
      <c r="O37" s="59">
        <f t="shared" si="1"/>
        <v>93000</v>
      </c>
      <c r="P37" s="29"/>
      <c r="Q37" s="29"/>
    </row>
    <row r="38" spans="1:17" s="52" customFormat="1" ht="15" customHeight="1">
      <c r="A38" s="65" t="s">
        <v>141</v>
      </c>
      <c r="B38" s="139" t="s">
        <v>132</v>
      </c>
      <c r="C38" s="59">
        <v>73000</v>
      </c>
      <c r="D38" s="64">
        <v>65100</v>
      </c>
      <c r="E38" s="64"/>
      <c r="F38" s="64"/>
      <c r="G38" s="64"/>
      <c r="H38" s="64"/>
      <c r="I38" s="64"/>
      <c r="J38" s="64"/>
      <c r="K38" s="64"/>
      <c r="L38" s="59">
        <v>2008</v>
      </c>
      <c r="M38" s="64"/>
      <c r="N38" s="64"/>
      <c r="O38" s="59">
        <f t="shared" si="1"/>
        <v>75008</v>
      </c>
      <c r="P38" s="29"/>
      <c r="Q38" s="29"/>
    </row>
    <row r="39" spans="1:17" s="52" customFormat="1" ht="15" customHeight="1">
      <c r="A39" s="65" t="s">
        <v>143</v>
      </c>
      <c r="B39" s="139" t="s">
        <v>134</v>
      </c>
      <c r="C39" s="59">
        <v>85900</v>
      </c>
      <c r="D39" s="64">
        <v>77800</v>
      </c>
      <c r="E39" s="64"/>
      <c r="F39" s="64"/>
      <c r="G39" s="64"/>
      <c r="H39" s="64"/>
      <c r="I39" s="64"/>
      <c r="J39" s="64"/>
      <c r="K39" s="64"/>
      <c r="L39" s="59"/>
      <c r="M39" s="64"/>
      <c r="N39" s="64"/>
      <c r="O39" s="59">
        <f t="shared" si="1"/>
        <v>85900</v>
      </c>
      <c r="P39" s="29"/>
      <c r="Q39" s="29"/>
    </row>
    <row r="40" spans="1:17" s="52" customFormat="1" ht="15" customHeight="1">
      <c r="A40" s="65" t="s">
        <v>466</v>
      </c>
      <c r="B40" s="139" t="s">
        <v>136</v>
      </c>
      <c r="C40" s="59">
        <v>95800</v>
      </c>
      <c r="D40" s="64">
        <v>85100</v>
      </c>
      <c r="E40" s="64"/>
      <c r="F40" s="64"/>
      <c r="G40" s="64"/>
      <c r="H40" s="64"/>
      <c r="I40" s="64"/>
      <c r="J40" s="64"/>
      <c r="K40" s="64"/>
      <c r="L40" s="59">
        <v>2440</v>
      </c>
      <c r="M40" s="64"/>
      <c r="N40" s="64"/>
      <c r="O40" s="59">
        <f t="shared" si="1"/>
        <v>98240</v>
      </c>
      <c r="P40" s="29"/>
      <c r="Q40" s="29"/>
    </row>
    <row r="41" spans="1:17" s="52" customFormat="1" ht="15" customHeight="1">
      <c r="A41" s="65" t="s">
        <v>544</v>
      </c>
      <c r="B41" s="139" t="s">
        <v>138</v>
      </c>
      <c r="C41" s="59">
        <v>99800</v>
      </c>
      <c r="D41" s="64">
        <v>91500</v>
      </c>
      <c r="E41" s="64"/>
      <c r="F41" s="64"/>
      <c r="G41" s="64"/>
      <c r="H41" s="64"/>
      <c r="I41" s="64"/>
      <c r="J41" s="64"/>
      <c r="K41" s="64"/>
      <c r="L41" s="59">
        <v>4760</v>
      </c>
      <c r="M41" s="64"/>
      <c r="N41" s="64"/>
      <c r="O41" s="59">
        <f t="shared" si="1"/>
        <v>104560</v>
      </c>
      <c r="P41" s="29"/>
      <c r="Q41" s="29"/>
    </row>
    <row r="42" spans="1:17" s="52" customFormat="1" ht="15" customHeight="1">
      <c r="A42" s="65" t="s">
        <v>545</v>
      </c>
      <c r="B42" s="139" t="s">
        <v>140</v>
      </c>
      <c r="C42" s="59">
        <v>78480</v>
      </c>
      <c r="D42" s="64">
        <v>66400</v>
      </c>
      <c r="E42" s="64"/>
      <c r="F42" s="64"/>
      <c r="G42" s="64"/>
      <c r="H42" s="64"/>
      <c r="I42" s="64"/>
      <c r="J42" s="64"/>
      <c r="K42" s="64"/>
      <c r="L42" s="59">
        <v>418</v>
      </c>
      <c r="M42" s="64"/>
      <c r="N42" s="64"/>
      <c r="O42" s="59">
        <f>C42+F42+I42+L42</f>
        <v>78898</v>
      </c>
      <c r="P42" s="29"/>
      <c r="Q42" s="29"/>
    </row>
    <row r="43" spans="1:17" s="52" customFormat="1" ht="15.75" customHeight="1">
      <c r="A43" s="65" t="s">
        <v>616</v>
      </c>
      <c r="B43" s="140" t="s">
        <v>142</v>
      </c>
      <c r="C43" s="59">
        <v>85990</v>
      </c>
      <c r="D43" s="64">
        <v>73800</v>
      </c>
      <c r="E43" s="64"/>
      <c r="F43" s="64"/>
      <c r="G43" s="64"/>
      <c r="H43" s="64"/>
      <c r="I43" s="64"/>
      <c r="J43" s="64"/>
      <c r="K43" s="64"/>
      <c r="L43" s="59"/>
      <c r="M43" s="64"/>
      <c r="N43" s="64"/>
      <c r="O43" s="59">
        <f t="shared" si="1"/>
        <v>85990</v>
      </c>
      <c r="P43" s="29"/>
      <c r="Q43" s="29"/>
    </row>
    <row r="44" spans="1:17" s="54" customFormat="1" ht="29.25" customHeight="1">
      <c r="A44" s="65" t="s">
        <v>617</v>
      </c>
      <c r="B44" s="139" t="s">
        <v>546</v>
      </c>
      <c r="C44" s="59">
        <f>65000</f>
        <v>65000</v>
      </c>
      <c r="D44" s="64"/>
      <c r="E44" s="64">
        <v>20000</v>
      </c>
      <c r="F44" s="64"/>
      <c r="G44" s="64"/>
      <c r="H44" s="64"/>
      <c r="I44" s="64"/>
      <c r="J44" s="64"/>
      <c r="K44" s="64"/>
      <c r="L44" s="64"/>
      <c r="M44" s="64"/>
      <c r="N44" s="59"/>
      <c r="O44" s="59">
        <f t="shared" si="1"/>
        <v>65000</v>
      </c>
      <c r="P44" s="29"/>
      <c r="Q44" s="29"/>
    </row>
    <row r="45" spans="1:17" s="68" customFormat="1" ht="27" customHeight="1">
      <c r="A45" s="59" t="s">
        <v>42</v>
      </c>
      <c r="B45" s="61" t="s">
        <v>144</v>
      </c>
      <c r="C45" s="59">
        <f>SUM(C46:C47)</f>
        <v>139000</v>
      </c>
      <c r="D45" s="59">
        <f aca="true" t="shared" si="3" ref="D45:N45">SUM(D46:D47)</f>
        <v>0</v>
      </c>
      <c r="E45" s="59">
        <f t="shared" si="3"/>
        <v>0</v>
      </c>
      <c r="F45" s="59">
        <f t="shared" si="3"/>
        <v>0</v>
      </c>
      <c r="G45" s="59">
        <f t="shared" si="3"/>
        <v>0</v>
      </c>
      <c r="H45" s="59">
        <f t="shared" si="3"/>
        <v>0</v>
      </c>
      <c r="I45" s="59">
        <f t="shared" si="3"/>
        <v>0</v>
      </c>
      <c r="J45" s="59">
        <f t="shared" si="3"/>
        <v>0</v>
      </c>
      <c r="K45" s="59">
        <f t="shared" si="3"/>
        <v>0</v>
      </c>
      <c r="L45" s="59">
        <f t="shared" si="3"/>
        <v>0</v>
      </c>
      <c r="M45" s="59">
        <f t="shared" si="3"/>
        <v>0</v>
      </c>
      <c r="N45" s="59">
        <f t="shared" si="3"/>
        <v>0</v>
      </c>
      <c r="O45" s="59">
        <f t="shared" si="1"/>
        <v>139000</v>
      </c>
      <c r="P45" s="67"/>
      <c r="Q45" s="67"/>
    </row>
    <row r="46" spans="1:17" s="72" customFormat="1" ht="15" customHeight="1">
      <c r="A46" s="69" t="s">
        <v>44</v>
      </c>
      <c r="B46" s="70" t="s">
        <v>547</v>
      </c>
      <c r="C46" s="64">
        <v>59000</v>
      </c>
      <c r="D46" s="71"/>
      <c r="E46" s="64"/>
      <c r="F46" s="71"/>
      <c r="G46" s="71"/>
      <c r="H46" s="71"/>
      <c r="I46" s="71"/>
      <c r="J46" s="71"/>
      <c r="K46" s="71"/>
      <c r="L46" s="71"/>
      <c r="M46" s="71"/>
      <c r="N46" s="71"/>
      <c r="O46" s="59">
        <f t="shared" si="1"/>
        <v>59000</v>
      </c>
      <c r="P46" s="67"/>
      <c r="Q46" s="67"/>
    </row>
    <row r="47" spans="1:17" s="72" customFormat="1" ht="44.25" customHeight="1">
      <c r="A47" s="69" t="s">
        <v>46</v>
      </c>
      <c r="B47" s="70" t="s">
        <v>467</v>
      </c>
      <c r="C47" s="64">
        <v>80000</v>
      </c>
      <c r="D47" s="71"/>
      <c r="E47" s="64"/>
      <c r="F47" s="71"/>
      <c r="G47" s="71"/>
      <c r="H47" s="71"/>
      <c r="I47" s="71"/>
      <c r="J47" s="71"/>
      <c r="K47" s="71"/>
      <c r="L47" s="71"/>
      <c r="M47" s="71"/>
      <c r="N47" s="71"/>
      <c r="O47" s="59">
        <f t="shared" si="1"/>
        <v>80000</v>
      </c>
      <c r="P47" s="67"/>
      <c r="Q47" s="67"/>
    </row>
    <row r="48" spans="1:17" s="68" customFormat="1" ht="15" customHeight="1">
      <c r="A48" s="59" t="s">
        <v>54</v>
      </c>
      <c r="B48" s="61" t="s">
        <v>109</v>
      </c>
      <c r="C48" s="59">
        <f aca="true" t="shared" si="4" ref="C48:I48">SUM(C49:C51)</f>
        <v>405000</v>
      </c>
      <c r="D48" s="59">
        <f t="shared" si="4"/>
        <v>0</v>
      </c>
      <c r="E48" s="59">
        <f t="shared" si="4"/>
        <v>280000</v>
      </c>
      <c r="F48" s="59">
        <f t="shared" si="4"/>
        <v>0</v>
      </c>
      <c r="G48" s="59">
        <f t="shared" si="4"/>
        <v>0</v>
      </c>
      <c r="H48" s="59">
        <f t="shared" si="4"/>
        <v>0</v>
      </c>
      <c r="I48" s="59">
        <f t="shared" si="4"/>
        <v>0</v>
      </c>
      <c r="J48" s="59"/>
      <c r="K48" s="59">
        <f>SUM(K49:K51)</f>
        <v>0</v>
      </c>
      <c r="L48" s="59">
        <f>SUM(L49:L51)</f>
        <v>0</v>
      </c>
      <c r="M48" s="59">
        <f>SUM(M49:M51)</f>
        <v>0</v>
      </c>
      <c r="N48" s="59">
        <f>SUM(N49:N51)</f>
        <v>0</v>
      </c>
      <c r="O48" s="59">
        <f t="shared" si="1"/>
        <v>405000</v>
      </c>
      <c r="P48" s="67"/>
      <c r="Q48" s="67"/>
    </row>
    <row r="49" spans="1:17" s="72" customFormat="1" ht="15" customHeight="1">
      <c r="A49" s="63" t="s">
        <v>83</v>
      </c>
      <c r="B49" s="70" t="s">
        <v>548</v>
      </c>
      <c r="C49" s="64">
        <v>2000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59">
        <f t="shared" si="1"/>
        <v>2000</v>
      </c>
      <c r="P49" s="67"/>
      <c r="Q49" s="67"/>
    </row>
    <row r="50" spans="1:17" s="72" customFormat="1" ht="15" customHeight="1">
      <c r="A50" s="69" t="s">
        <v>84</v>
      </c>
      <c r="B50" s="70" t="s">
        <v>145</v>
      </c>
      <c r="C50" s="64">
        <v>20000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59">
        <f>C50+F50+I50+L50</f>
        <v>20000</v>
      </c>
      <c r="P50" s="67"/>
      <c r="Q50" s="67"/>
    </row>
    <row r="51" spans="1:17" s="72" customFormat="1" ht="45" customHeight="1">
      <c r="A51" s="69" t="s">
        <v>85</v>
      </c>
      <c r="B51" s="70" t="s">
        <v>549</v>
      </c>
      <c r="C51" s="64">
        <f>433000-50000</f>
        <v>383000</v>
      </c>
      <c r="D51" s="71"/>
      <c r="E51" s="64">
        <v>280000</v>
      </c>
      <c r="F51" s="71"/>
      <c r="G51" s="71"/>
      <c r="H51" s="71"/>
      <c r="I51" s="71"/>
      <c r="J51" s="71"/>
      <c r="K51" s="71"/>
      <c r="L51" s="71"/>
      <c r="M51" s="71"/>
      <c r="N51" s="71"/>
      <c r="O51" s="59">
        <f t="shared" si="1"/>
        <v>383000</v>
      </c>
      <c r="P51" s="67"/>
      <c r="Q51" s="67"/>
    </row>
    <row r="52" spans="1:17" s="54" customFormat="1" ht="15" customHeight="1">
      <c r="A52" s="73"/>
      <c r="B52" s="180" t="s">
        <v>146</v>
      </c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2"/>
      <c r="P52" s="29"/>
      <c r="Q52" s="29"/>
    </row>
    <row r="53" spans="1:17" s="72" customFormat="1" ht="15" customHeight="1">
      <c r="A53" s="64"/>
      <c r="B53" s="61" t="s">
        <v>107</v>
      </c>
      <c r="C53" s="62">
        <f>C54</f>
        <v>38000</v>
      </c>
      <c r="D53" s="62">
        <f aca="true" t="shared" si="5" ref="D53:N53">D54</f>
        <v>0</v>
      </c>
      <c r="E53" s="62">
        <f t="shared" si="5"/>
        <v>0</v>
      </c>
      <c r="F53" s="62">
        <f t="shared" si="5"/>
        <v>258000</v>
      </c>
      <c r="G53" s="62">
        <f t="shared" si="5"/>
        <v>0</v>
      </c>
      <c r="H53" s="62">
        <f t="shared" si="5"/>
        <v>0</v>
      </c>
      <c r="I53" s="62">
        <f t="shared" si="5"/>
        <v>0</v>
      </c>
      <c r="J53" s="62"/>
      <c r="K53" s="62">
        <f t="shared" si="5"/>
        <v>0</v>
      </c>
      <c r="L53" s="62">
        <f t="shared" si="5"/>
        <v>0</v>
      </c>
      <c r="M53" s="62">
        <f t="shared" si="5"/>
        <v>0</v>
      </c>
      <c r="N53" s="62">
        <f t="shared" si="5"/>
        <v>0</v>
      </c>
      <c r="O53" s="59">
        <f>C53+F53+I53+L53</f>
        <v>296000</v>
      </c>
      <c r="P53" s="67"/>
      <c r="Q53" s="67">
        <f>O53+P53</f>
        <v>296000</v>
      </c>
    </row>
    <row r="54" spans="1:17" s="72" customFormat="1" ht="15.75" customHeight="1">
      <c r="A54" s="59" t="s">
        <v>56</v>
      </c>
      <c r="B54" s="61" t="s">
        <v>109</v>
      </c>
      <c r="C54" s="62">
        <f>SUM(C56,C57)</f>
        <v>38000</v>
      </c>
      <c r="D54" s="62">
        <f>SUM(D57)</f>
        <v>0</v>
      </c>
      <c r="E54" s="62">
        <f>SUM(E57)</f>
        <v>0</v>
      </c>
      <c r="F54" s="62">
        <f aca="true" t="shared" si="6" ref="F54:N54">SUM(F55)</f>
        <v>258000</v>
      </c>
      <c r="G54" s="62">
        <f t="shared" si="6"/>
        <v>0</v>
      </c>
      <c r="H54" s="62">
        <f t="shared" si="6"/>
        <v>0</v>
      </c>
      <c r="I54" s="62">
        <f t="shared" si="6"/>
        <v>0</v>
      </c>
      <c r="J54" s="62"/>
      <c r="K54" s="62">
        <f t="shared" si="6"/>
        <v>0</v>
      </c>
      <c r="L54" s="62">
        <f t="shared" si="6"/>
        <v>0</v>
      </c>
      <c r="M54" s="62">
        <f t="shared" si="6"/>
        <v>0</v>
      </c>
      <c r="N54" s="62">
        <f t="shared" si="6"/>
        <v>0</v>
      </c>
      <c r="O54" s="59">
        <f>C54+F54+I54+L54</f>
        <v>296000</v>
      </c>
      <c r="P54" s="67"/>
      <c r="Q54" s="67"/>
    </row>
    <row r="55" spans="1:17" s="80" customFormat="1" ht="15" customHeight="1">
      <c r="A55" s="69" t="s">
        <v>57</v>
      </c>
      <c r="B55" s="70" t="s">
        <v>147</v>
      </c>
      <c r="C55" s="70"/>
      <c r="D55" s="70"/>
      <c r="E55" s="70"/>
      <c r="F55" s="74">
        <v>258000</v>
      </c>
      <c r="G55" s="74"/>
      <c r="H55" s="74"/>
      <c r="I55" s="70"/>
      <c r="J55" s="70"/>
      <c r="K55" s="70"/>
      <c r="L55" s="70"/>
      <c r="M55" s="70"/>
      <c r="N55" s="70"/>
      <c r="O55" s="59">
        <f>C55+F55+I55+L55</f>
        <v>258000</v>
      </c>
      <c r="P55" s="67"/>
      <c r="Q55" s="67"/>
    </row>
    <row r="56" spans="1:17" s="80" customFormat="1" ht="15" customHeight="1">
      <c r="A56" s="69" t="s">
        <v>59</v>
      </c>
      <c r="B56" s="70" t="s">
        <v>148</v>
      </c>
      <c r="C56" s="74">
        <v>20000</v>
      </c>
      <c r="D56" s="70"/>
      <c r="E56" s="70"/>
      <c r="F56" s="74"/>
      <c r="G56" s="74"/>
      <c r="H56" s="74"/>
      <c r="I56" s="70"/>
      <c r="J56" s="70"/>
      <c r="K56" s="70"/>
      <c r="L56" s="70"/>
      <c r="M56" s="70"/>
      <c r="N56" s="70"/>
      <c r="O56" s="59">
        <f>C56+F56+I56+L56</f>
        <v>20000</v>
      </c>
      <c r="P56" s="67"/>
      <c r="Q56" s="67"/>
    </row>
    <row r="57" spans="1:17" s="52" customFormat="1" ht="15" customHeight="1">
      <c r="A57" s="75" t="s">
        <v>61</v>
      </c>
      <c r="B57" s="76" t="s">
        <v>149</v>
      </c>
      <c r="C57" s="64">
        <v>18000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59">
        <f>C57+F57+I57+L57</f>
        <v>18000</v>
      </c>
      <c r="P57" s="29"/>
      <c r="Q57" s="29"/>
    </row>
    <row r="58" spans="1:17" s="52" customFormat="1" ht="15" customHeight="1">
      <c r="A58" s="77"/>
      <c r="B58" s="180" t="s">
        <v>150</v>
      </c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2"/>
      <c r="P58" s="29"/>
      <c r="Q58" s="29"/>
    </row>
    <row r="59" spans="1:17" s="72" customFormat="1" ht="15.75" customHeight="1">
      <c r="A59" s="64"/>
      <c r="B59" s="61" t="s">
        <v>107</v>
      </c>
      <c r="C59" s="62">
        <f>C60</f>
        <v>123810</v>
      </c>
      <c r="D59" s="62">
        <f aca="true" t="shared" si="7" ref="D59:N59">D60</f>
        <v>52000</v>
      </c>
      <c r="E59" s="62">
        <f t="shared" si="7"/>
        <v>0</v>
      </c>
      <c r="F59" s="62">
        <f t="shared" si="7"/>
        <v>299050</v>
      </c>
      <c r="G59" s="62">
        <f t="shared" si="7"/>
        <v>0</v>
      </c>
      <c r="H59" s="62">
        <f t="shared" si="7"/>
        <v>75230</v>
      </c>
      <c r="I59" s="62">
        <f t="shared" si="7"/>
        <v>0</v>
      </c>
      <c r="J59" s="62">
        <f t="shared" si="7"/>
        <v>0</v>
      </c>
      <c r="K59" s="62">
        <f t="shared" si="7"/>
        <v>0</v>
      </c>
      <c r="L59" s="62">
        <f t="shared" si="7"/>
        <v>0</v>
      </c>
      <c r="M59" s="62">
        <f t="shared" si="7"/>
        <v>0</v>
      </c>
      <c r="N59" s="62">
        <f t="shared" si="7"/>
        <v>0</v>
      </c>
      <c r="O59" s="59">
        <f aca="true" t="shared" si="8" ref="O59:O65">C59+F59+I59+L59</f>
        <v>422860</v>
      </c>
      <c r="P59" s="67"/>
      <c r="Q59" s="67">
        <f>O59+P59</f>
        <v>422860</v>
      </c>
    </row>
    <row r="60" spans="1:17" s="52" customFormat="1" ht="15" customHeight="1">
      <c r="A60" s="59" t="s">
        <v>86</v>
      </c>
      <c r="B60" s="61" t="s">
        <v>109</v>
      </c>
      <c r="C60" s="59">
        <f aca="true" t="shared" si="9" ref="C60:N60">SUM(C61:C65)</f>
        <v>123810</v>
      </c>
      <c r="D60" s="59">
        <f t="shared" si="9"/>
        <v>52000</v>
      </c>
      <c r="E60" s="59">
        <f t="shared" si="9"/>
        <v>0</v>
      </c>
      <c r="F60" s="59">
        <f t="shared" si="9"/>
        <v>299050</v>
      </c>
      <c r="G60" s="59">
        <f t="shared" si="9"/>
        <v>0</v>
      </c>
      <c r="H60" s="59">
        <f t="shared" si="9"/>
        <v>75230</v>
      </c>
      <c r="I60" s="59">
        <f t="shared" si="9"/>
        <v>0</v>
      </c>
      <c r="J60" s="59">
        <f t="shared" si="9"/>
        <v>0</v>
      </c>
      <c r="K60" s="59">
        <f t="shared" si="9"/>
        <v>0</v>
      </c>
      <c r="L60" s="59">
        <f t="shared" si="9"/>
        <v>0</v>
      </c>
      <c r="M60" s="59">
        <f t="shared" si="9"/>
        <v>0</v>
      </c>
      <c r="N60" s="59">
        <f t="shared" si="9"/>
        <v>0</v>
      </c>
      <c r="O60" s="59">
        <f t="shared" si="8"/>
        <v>422860</v>
      </c>
      <c r="P60" s="29"/>
      <c r="Q60" s="29"/>
    </row>
    <row r="61" spans="1:17" s="52" customFormat="1" ht="15" customHeight="1">
      <c r="A61" s="69" t="s">
        <v>87</v>
      </c>
      <c r="B61" s="141" t="s">
        <v>151</v>
      </c>
      <c r="C61" s="64">
        <v>80510</v>
      </c>
      <c r="D61" s="64">
        <v>52000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59">
        <f t="shared" si="8"/>
        <v>80510</v>
      </c>
      <c r="P61" s="29"/>
      <c r="Q61" s="29"/>
    </row>
    <row r="62" spans="1:17" s="52" customFormat="1" ht="15" customHeight="1">
      <c r="A62" s="63" t="s">
        <v>88</v>
      </c>
      <c r="B62" s="141" t="s">
        <v>152</v>
      </c>
      <c r="C62" s="64">
        <v>20000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59">
        <f t="shared" si="8"/>
        <v>20000</v>
      </c>
      <c r="P62" s="29"/>
      <c r="Q62" s="29"/>
    </row>
    <row r="63" spans="1:17" s="52" customFormat="1" ht="15" customHeight="1">
      <c r="A63" s="78" t="s">
        <v>89</v>
      </c>
      <c r="B63" s="139" t="s">
        <v>153</v>
      </c>
      <c r="C63" s="142">
        <v>23300</v>
      </c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3">
        <f t="shared" si="8"/>
        <v>23300</v>
      </c>
      <c r="P63" s="29"/>
      <c r="Q63" s="29"/>
    </row>
    <row r="64" spans="1:17" s="52" customFormat="1" ht="30.75" customHeight="1">
      <c r="A64" s="63" t="s">
        <v>154</v>
      </c>
      <c r="B64" s="76" t="s">
        <v>156</v>
      </c>
      <c r="C64" s="64"/>
      <c r="D64" s="64"/>
      <c r="E64" s="64"/>
      <c r="F64" s="64">
        <v>75230</v>
      </c>
      <c r="G64" s="64"/>
      <c r="H64" s="64">
        <v>75230</v>
      </c>
      <c r="I64" s="64"/>
      <c r="J64" s="64"/>
      <c r="K64" s="64"/>
      <c r="L64" s="64"/>
      <c r="M64" s="64"/>
      <c r="N64" s="64"/>
      <c r="O64" s="143">
        <f t="shared" si="8"/>
        <v>75230</v>
      </c>
      <c r="P64" s="29"/>
      <c r="Q64" s="29"/>
    </row>
    <row r="65" spans="1:21" s="52" customFormat="1" ht="30" customHeight="1">
      <c r="A65" s="63" t="s">
        <v>155</v>
      </c>
      <c r="B65" s="144" t="s">
        <v>413</v>
      </c>
      <c r="C65" s="145"/>
      <c r="D65" s="64"/>
      <c r="E65" s="64"/>
      <c r="F65" s="64">
        <v>223820</v>
      </c>
      <c r="G65" s="64"/>
      <c r="H65" s="64"/>
      <c r="I65" s="64"/>
      <c r="J65" s="64"/>
      <c r="K65" s="64"/>
      <c r="L65" s="64"/>
      <c r="M65" s="64"/>
      <c r="N65" s="64"/>
      <c r="O65" s="143">
        <f t="shared" si="8"/>
        <v>223820</v>
      </c>
      <c r="P65" s="29"/>
      <c r="Q65" s="29"/>
      <c r="T65" s="79"/>
      <c r="U65" s="79"/>
    </row>
    <row r="66" spans="1:17" s="54" customFormat="1" ht="15.75" customHeight="1">
      <c r="A66" s="73"/>
      <c r="B66" s="177" t="s">
        <v>157</v>
      </c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9"/>
      <c r="P66" s="29"/>
      <c r="Q66" s="29"/>
    </row>
    <row r="67" spans="1:17" s="72" customFormat="1" ht="15.75" customHeight="1">
      <c r="A67" s="64"/>
      <c r="B67" s="61" t="s">
        <v>107</v>
      </c>
      <c r="C67" s="62">
        <f aca="true" t="shared" si="10" ref="C67:N67">C68+C102</f>
        <v>2426910</v>
      </c>
      <c r="D67" s="62">
        <f t="shared" si="10"/>
        <v>24200</v>
      </c>
      <c r="E67" s="62">
        <f t="shared" si="10"/>
        <v>317010</v>
      </c>
      <c r="F67" s="62">
        <f t="shared" si="10"/>
        <v>708034</v>
      </c>
      <c r="G67" s="62">
        <f t="shared" si="10"/>
        <v>646600</v>
      </c>
      <c r="H67" s="62">
        <f t="shared" si="10"/>
        <v>35634</v>
      </c>
      <c r="I67" s="62">
        <f t="shared" si="10"/>
        <v>0</v>
      </c>
      <c r="J67" s="62">
        <f t="shared" si="10"/>
        <v>0</v>
      </c>
      <c r="K67" s="62">
        <f t="shared" si="10"/>
        <v>0</v>
      </c>
      <c r="L67" s="62">
        <f t="shared" si="10"/>
        <v>0</v>
      </c>
      <c r="M67" s="62">
        <f t="shared" si="10"/>
        <v>0</v>
      </c>
      <c r="N67" s="62">
        <f t="shared" si="10"/>
        <v>0</v>
      </c>
      <c r="O67" s="59">
        <f aca="true" t="shared" si="11" ref="O67:O100">C67+F67+I67+L67</f>
        <v>3134944</v>
      </c>
      <c r="P67" s="67">
        <v>618000</v>
      </c>
      <c r="Q67" s="67">
        <f>O67+P67</f>
        <v>3752944</v>
      </c>
    </row>
    <row r="68" spans="1:17" s="72" customFormat="1" ht="15.75" customHeight="1">
      <c r="A68" s="59" t="s">
        <v>90</v>
      </c>
      <c r="B68" s="61" t="s">
        <v>109</v>
      </c>
      <c r="C68" s="62">
        <f aca="true" t="shared" si="12" ref="C68:N68">SUM(C69:C89)</f>
        <v>2356910</v>
      </c>
      <c r="D68" s="62">
        <f t="shared" si="12"/>
        <v>0</v>
      </c>
      <c r="E68" s="62">
        <f t="shared" si="12"/>
        <v>277010</v>
      </c>
      <c r="F68" s="62">
        <f t="shared" si="12"/>
        <v>35634</v>
      </c>
      <c r="G68" s="62">
        <f t="shared" si="12"/>
        <v>0</v>
      </c>
      <c r="H68" s="62">
        <f t="shared" si="12"/>
        <v>35634</v>
      </c>
      <c r="I68" s="62">
        <f t="shared" si="12"/>
        <v>0</v>
      </c>
      <c r="J68" s="62">
        <f t="shared" si="12"/>
        <v>0</v>
      </c>
      <c r="K68" s="62">
        <f t="shared" si="12"/>
        <v>0</v>
      </c>
      <c r="L68" s="62">
        <f t="shared" si="12"/>
        <v>0</v>
      </c>
      <c r="M68" s="62">
        <f t="shared" si="12"/>
        <v>0</v>
      </c>
      <c r="N68" s="62">
        <f t="shared" si="12"/>
        <v>0</v>
      </c>
      <c r="O68" s="59">
        <f t="shared" si="11"/>
        <v>2392544</v>
      </c>
      <c r="P68" s="67"/>
      <c r="Q68" s="67"/>
    </row>
    <row r="69" spans="1:17" s="52" customFormat="1" ht="45" customHeight="1">
      <c r="A69" s="69" t="s">
        <v>92</v>
      </c>
      <c r="B69" s="139" t="s">
        <v>158</v>
      </c>
      <c r="C69" s="64">
        <v>190000</v>
      </c>
      <c r="D69" s="64"/>
      <c r="E69" s="64">
        <v>100000</v>
      </c>
      <c r="F69" s="64"/>
      <c r="G69" s="64"/>
      <c r="H69" s="64"/>
      <c r="I69" s="64"/>
      <c r="J69" s="64"/>
      <c r="K69" s="64"/>
      <c r="L69" s="64"/>
      <c r="M69" s="64"/>
      <c r="N69" s="64"/>
      <c r="O69" s="59">
        <f t="shared" si="11"/>
        <v>190000</v>
      </c>
      <c r="P69" s="29"/>
      <c r="Q69" s="29"/>
    </row>
    <row r="70" spans="1:17" s="80" customFormat="1" ht="29.25" customHeight="1">
      <c r="A70" s="69" t="s">
        <v>93</v>
      </c>
      <c r="B70" s="70" t="s">
        <v>159</v>
      </c>
      <c r="C70" s="74">
        <v>35000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59">
        <f t="shared" si="11"/>
        <v>35000</v>
      </c>
      <c r="P70" s="67"/>
      <c r="Q70" s="67"/>
    </row>
    <row r="71" spans="1:17" s="52" customFormat="1" ht="44.25" customHeight="1">
      <c r="A71" s="69" t="s">
        <v>94</v>
      </c>
      <c r="B71" s="70" t="s">
        <v>550</v>
      </c>
      <c r="C71" s="64">
        <v>200000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59">
        <f t="shared" si="11"/>
        <v>200000</v>
      </c>
      <c r="P71" s="29"/>
      <c r="Q71" s="29"/>
    </row>
    <row r="72" spans="1:17" s="52" customFormat="1" ht="30.75" customHeight="1">
      <c r="A72" s="69" t="s">
        <v>160</v>
      </c>
      <c r="B72" s="70" t="s">
        <v>551</v>
      </c>
      <c r="C72" s="64">
        <v>17010</v>
      </c>
      <c r="D72" s="64"/>
      <c r="E72" s="64">
        <v>17010</v>
      </c>
      <c r="F72" s="64"/>
      <c r="G72" s="64"/>
      <c r="H72" s="64"/>
      <c r="I72" s="64"/>
      <c r="J72" s="64"/>
      <c r="K72" s="64"/>
      <c r="L72" s="64"/>
      <c r="M72" s="64"/>
      <c r="N72" s="64"/>
      <c r="O72" s="59">
        <f t="shared" si="11"/>
        <v>17010</v>
      </c>
      <c r="P72" s="29"/>
      <c r="Q72" s="29"/>
    </row>
    <row r="73" spans="1:17" s="52" customFormat="1" ht="30" customHeight="1">
      <c r="A73" s="69" t="s">
        <v>161</v>
      </c>
      <c r="B73" s="70" t="s">
        <v>552</v>
      </c>
      <c r="C73" s="64">
        <f>53900+40000</f>
        <v>93900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59">
        <f t="shared" si="11"/>
        <v>93900</v>
      </c>
      <c r="P73" s="29"/>
      <c r="Q73" s="29"/>
    </row>
    <row r="74" spans="1:17" s="72" customFormat="1" ht="30" customHeight="1">
      <c r="A74" s="69" t="s">
        <v>163</v>
      </c>
      <c r="B74" s="70" t="s">
        <v>162</v>
      </c>
      <c r="C74" s="146">
        <v>25000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59">
        <f t="shared" si="11"/>
        <v>25000</v>
      </c>
      <c r="P74" s="67"/>
      <c r="Q74" s="67"/>
    </row>
    <row r="75" spans="1:17" s="72" customFormat="1" ht="43.5" customHeight="1">
      <c r="A75" s="69" t="s">
        <v>165</v>
      </c>
      <c r="B75" s="70" t="s">
        <v>164</v>
      </c>
      <c r="C75" s="64">
        <v>382000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59">
        <f t="shared" si="11"/>
        <v>382000</v>
      </c>
      <c r="P75" s="67"/>
      <c r="Q75" s="67"/>
    </row>
    <row r="76" spans="1:17" s="52" customFormat="1" ht="17.25" customHeight="1">
      <c r="A76" s="69" t="s">
        <v>167</v>
      </c>
      <c r="B76" s="139" t="s">
        <v>166</v>
      </c>
      <c r="C76" s="64">
        <v>9000</v>
      </c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59">
        <f t="shared" si="11"/>
        <v>9000</v>
      </c>
      <c r="P76" s="29"/>
      <c r="Q76" s="29"/>
    </row>
    <row r="77" spans="1:17" s="72" customFormat="1" ht="17.25" customHeight="1">
      <c r="A77" s="69" t="s">
        <v>169</v>
      </c>
      <c r="B77" s="70" t="s">
        <v>168</v>
      </c>
      <c r="C77" s="64">
        <v>10000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59">
        <f t="shared" si="11"/>
        <v>10000</v>
      </c>
      <c r="P77" s="67"/>
      <c r="Q77" s="67"/>
    </row>
    <row r="78" spans="1:17" s="80" customFormat="1" ht="29.25" customHeight="1">
      <c r="A78" s="69" t="s">
        <v>171</v>
      </c>
      <c r="B78" s="70" t="s">
        <v>170</v>
      </c>
      <c r="C78" s="74">
        <f>255000+12000</f>
        <v>267000</v>
      </c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59">
        <f t="shared" si="11"/>
        <v>267000</v>
      </c>
      <c r="P78" s="67"/>
      <c r="Q78" s="67"/>
    </row>
    <row r="79" spans="1:17" s="80" customFormat="1" ht="30" customHeight="1">
      <c r="A79" s="69" t="s">
        <v>172</v>
      </c>
      <c r="B79" s="70" t="s">
        <v>553</v>
      </c>
      <c r="C79" s="74">
        <v>50000</v>
      </c>
      <c r="D79" s="74"/>
      <c r="E79" s="74">
        <v>50000</v>
      </c>
      <c r="F79" s="74"/>
      <c r="G79" s="74"/>
      <c r="H79" s="74"/>
      <c r="I79" s="74"/>
      <c r="J79" s="74"/>
      <c r="K79" s="74"/>
      <c r="L79" s="74"/>
      <c r="M79" s="74"/>
      <c r="N79" s="74"/>
      <c r="O79" s="59">
        <f t="shared" si="11"/>
        <v>50000</v>
      </c>
      <c r="P79" s="67"/>
      <c r="Q79" s="67"/>
    </row>
    <row r="80" spans="1:17" s="52" customFormat="1" ht="16.5" customHeight="1">
      <c r="A80" s="69" t="s">
        <v>173</v>
      </c>
      <c r="B80" s="139" t="s">
        <v>554</v>
      </c>
      <c r="C80" s="64">
        <v>8000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59">
        <f t="shared" si="11"/>
        <v>8000</v>
      </c>
      <c r="P80" s="29"/>
      <c r="Q80" s="29"/>
    </row>
    <row r="81" spans="1:17" s="52" customFormat="1" ht="44.25" customHeight="1">
      <c r="A81" s="69" t="s">
        <v>174</v>
      </c>
      <c r="B81" s="139" t="s">
        <v>555</v>
      </c>
      <c r="C81" s="64">
        <v>50000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59">
        <f t="shared" si="11"/>
        <v>50000</v>
      </c>
      <c r="P81" s="29"/>
      <c r="Q81" s="29"/>
    </row>
    <row r="82" spans="1:17" s="52" customFormat="1" ht="29.25" customHeight="1">
      <c r="A82" s="69" t="s">
        <v>175</v>
      </c>
      <c r="B82" s="139" t="s">
        <v>505</v>
      </c>
      <c r="C82" s="64">
        <v>80000</v>
      </c>
      <c r="D82" s="64"/>
      <c r="E82" s="64">
        <v>80000</v>
      </c>
      <c r="F82" s="64"/>
      <c r="G82" s="64"/>
      <c r="H82" s="64"/>
      <c r="I82" s="64"/>
      <c r="J82" s="64"/>
      <c r="K82" s="64"/>
      <c r="L82" s="64"/>
      <c r="M82" s="64"/>
      <c r="N82" s="64"/>
      <c r="O82" s="59">
        <f t="shared" si="11"/>
        <v>80000</v>
      </c>
      <c r="P82" s="29"/>
      <c r="Q82" s="29"/>
    </row>
    <row r="83" spans="1:17" s="52" customFormat="1" ht="16.5" customHeight="1">
      <c r="A83" s="69" t="s">
        <v>176</v>
      </c>
      <c r="B83" s="139" t="s">
        <v>556</v>
      </c>
      <c r="C83" s="64">
        <f>12000</f>
        <v>12000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59">
        <f t="shared" si="11"/>
        <v>12000</v>
      </c>
      <c r="P83" s="29"/>
      <c r="Q83" s="29"/>
    </row>
    <row r="84" spans="1:21" s="52" customFormat="1" ht="15.75" customHeight="1">
      <c r="A84" s="69" t="s">
        <v>557</v>
      </c>
      <c r="B84" s="139" t="s">
        <v>558</v>
      </c>
      <c r="C84" s="64">
        <v>30000</v>
      </c>
      <c r="D84" s="64"/>
      <c r="E84" s="64">
        <v>30000</v>
      </c>
      <c r="F84" s="64"/>
      <c r="G84" s="64"/>
      <c r="H84" s="64"/>
      <c r="I84" s="64"/>
      <c r="J84" s="64"/>
      <c r="K84" s="64"/>
      <c r="L84" s="64"/>
      <c r="M84" s="64"/>
      <c r="N84" s="64"/>
      <c r="O84" s="59">
        <f t="shared" si="11"/>
        <v>30000</v>
      </c>
      <c r="Q84" s="79"/>
      <c r="T84" s="79"/>
      <c r="U84" s="79"/>
    </row>
    <row r="85" spans="1:21" s="52" customFormat="1" ht="15.75" customHeight="1">
      <c r="A85" s="69" t="s">
        <v>559</v>
      </c>
      <c r="B85" s="139" t="s">
        <v>560</v>
      </c>
      <c r="C85" s="64">
        <v>1000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59">
        <f t="shared" si="11"/>
        <v>1000</v>
      </c>
      <c r="Q85" s="79"/>
      <c r="T85" s="79"/>
      <c r="U85" s="79"/>
    </row>
    <row r="86" spans="1:21" s="52" customFormat="1" ht="30" customHeight="1">
      <c r="A86" s="69" t="s">
        <v>414</v>
      </c>
      <c r="B86" s="139" t="s">
        <v>561</v>
      </c>
      <c r="C86" s="64"/>
      <c r="D86" s="64"/>
      <c r="E86" s="64"/>
      <c r="F86" s="64">
        <v>2400</v>
      </c>
      <c r="G86" s="64"/>
      <c r="H86" s="64">
        <v>2400</v>
      </c>
      <c r="I86" s="64"/>
      <c r="J86" s="64"/>
      <c r="K86" s="64"/>
      <c r="L86" s="64"/>
      <c r="M86" s="64"/>
      <c r="N86" s="64"/>
      <c r="O86" s="59">
        <f t="shared" si="11"/>
        <v>2400</v>
      </c>
      <c r="Q86" s="79"/>
      <c r="T86" s="79"/>
      <c r="U86" s="79"/>
    </row>
    <row r="87" spans="1:21" s="72" customFormat="1" ht="28.5" customHeight="1">
      <c r="A87" s="69" t="s">
        <v>562</v>
      </c>
      <c r="B87" s="140" t="s">
        <v>563</v>
      </c>
      <c r="C87" s="64"/>
      <c r="D87" s="71"/>
      <c r="E87" s="71"/>
      <c r="F87" s="64">
        <v>33234</v>
      </c>
      <c r="G87" s="64"/>
      <c r="H87" s="64">
        <v>33234</v>
      </c>
      <c r="I87" s="71"/>
      <c r="J87" s="71"/>
      <c r="K87" s="71"/>
      <c r="L87" s="71"/>
      <c r="M87" s="71"/>
      <c r="N87" s="71"/>
      <c r="O87" s="59">
        <f t="shared" si="11"/>
        <v>33234</v>
      </c>
      <c r="Q87" s="53"/>
      <c r="T87" s="53"/>
      <c r="U87" s="53"/>
    </row>
    <row r="88" spans="1:21" s="52" customFormat="1" ht="55.5" customHeight="1" hidden="1">
      <c r="A88" s="69" t="s">
        <v>562</v>
      </c>
      <c r="B88" s="147" t="s">
        <v>472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59">
        <f t="shared" si="11"/>
        <v>0</v>
      </c>
      <c r="Q88" s="79"/>
      <c r="T88" s="79"/>
      <c r="U88" s="79"/>
    </row>
    <row r="89" spans="1:17" s="54" customFormat="1" ht="29.25" customHeight="1">
      <c r="A89" s="64" t="s">
        <v>177</v>
      </c>
      <c r="B89" s="139" t="s">
        <v>178</v>
      </c>
      <c r="C89" s="64">
        <f aca="true" t="shared" si="13" ref="C89:O89">SUM(C90:C101)</f>
        <v>897000</v>
      </c>
      <c r="D89" s="59">
        <f t="shared" si="13"/>
        <v>0</v>
      </c>
      <c r="E89" s="64">
        <f t="shared" si="13"/>
        <v>0</v>
      </c>
      <c r="F89" s="59">
        <f t="shared" si="13"/>
        <v>0</v>
      </c>
      <c r="G89" s="59">
        <f t="shared" si="13"/>
        <v>0</v>
      </c>
      <c r="H89" s="59">
        <f t="shared" si="13"/>
        <v>0</v>
      </c>
      <c r="I89" s="59">
        <f t="shared" si="13"/>
        <v>0</v>
      </c>
      <c r="J89" s="59">
        <f t="shared" si="13"/>
        <v>0</v>
      </c>
      <c r="K89" s="59">
        <f t="shared" si="13"/>
        <v>0</v>
      </c>
      <c r="L89" s="59">
        <f t="shared" si="13"/>
        <v>0</v>
      </c>
      <c r="M89" s="59">
        <f t="shared" si="13"/>
        <v>0</v>
      </c>
      <c r="N89" s="59">
        <f t="shared" si="13"/>
        <v>0</v>
      </c>
      <c r="O89" s="59">
        <f t="shared" si="13"/>
        <v>897000</v>
      </c>
      <c r="P89" s="29"/>
      <c r="Q89" s="29"/>
    </row>
    <row r="90" spans="1:17" s="52" customFormat="1" ht="15" customHeight="1">
      <c r="A90" s="63" t="s">
        <v>179</v>
      </c>
      <c r="B90" s="139" t="s">
        <v>180</v>
      </c>
      <c r="C90" s="64">
        <v>21500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59">
        <f t="shared" si="11"/>
        <v>21500</v>
      </c>
      <c r="P90" s="29"/>
      <c r="Q90" s="29"/>
    </row>
    <row r="91" spans="1:17" s="52" customFormat="1" ht="15" customHeight="1">
      <c r="A91" s="69" t="s">
        <v>181</v>
      </c>
      <c r="B91" s="139" t="s">
        <v>182</v>
      </c>
      <c r="C91" s="64">
        <v>12600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59">
        <f t="shared" si="11"/>
        <v>12600</v>
      </c>
      <c r="P91" s="29"/>
      <c r="Q91" s="29"/>
    </row>
    <row r="92" spans="1:17" s="54" customFormat="1" ht="15" customHeight="1">
      <c r="A92" s="69" t="s">
        <v>183</v>
      </c>
      <c r="B92" s="139" t="s">
        <v>184</v>
      </c>
      <c r="C92" s="64">
        <v>7100</v>
      </c>
      <c r="D92" s="59">
        <f aca="true" t="shared" si="14" ref="D92:N92">SUM(D93)</f>
        <v>0</v>
      </c>
      <c r="E92" s="59">
        <f t="shared" si="14"/>
        <v>0</v>
      </c>
      <c r="F92" s="59">
        <f t="shared" si="14"/>
        <v>0</v>
      </c>
      <c r="G92" s="59">
        <f t="shared" si="14"/>
        <v>0</v>
      </c>
      <c r="H92" s="59">
        <f t="shared" si="14"/>
        <v>0</v>
      </c>
      <c r="I92" s="59">
        <f t="shared" si="14"/>
        <v>0</v>
      </c>
      <c r="J92" s="59"/>
      <c r="K92" s="59">
        <f t="shared" si="14"/>
        <v>0</v>
      </c>
      <c r="L92" s="59">
        <f t="shared" si="14"/>
        <v>0</v>
      </c>
      <c r="M92" s="59">
        <f t="shared" si="14"/>
        <v>0</v>
      </c>
      <c r="N92" s="59">
        <f t="shared" si="14"/>
        <v>0</v>
      </c>
      <c r="O92" s="59">
        <f t="shared" si="11"/>
        <v>7100</v>
      </c>
      <c r="P92" s="29"/>
      <c r="Q92" s="29"/>
    </row>
    <row r="93" spans="1:17" s="52" customFormat="1" ht="15" customHeight="1">
      <c r="A93" s="69" t="s">
        <v>185</v>
      </c>
      <c r="B93" s="139" t="s">
        <v>186</v>
      </c>
      <c r="C93" s="64">
        <v>20500</v>
      </c>
      <c r="D93" s="64"/>
      <c r="E93" s="64"/>
      <c r="F93" s="59"/>
      <c r="G93" s="64"/>
      <c r="H93" s="64"/>
      <c r="I93" s="59"/>
      <c r="J93" s="59"/>
      <c r="K93" s="64"/>
      <c r="L93" s="59"/>
      <c r="M93" s="64"/>
      <c r="N93" s="64"/>
      <c r="O93" s="59">
        <f t="shared" si="11"/>
        <v>20500</v>
      </c>
      <c r="P93" s="29"/>
      <c r="Q93" s="29"/>
    </row>
    <row r="94" spans="1:17" s="52" customFormat="1" ht="15" customHeight="1">
      <c r="A94" s="69" t="s">
        <v>187</v>
      </c>
      <c r="B94" s="139" t="s">
        <v>188</v>
      </c>
      <c r="C94" s="64">
        <v>18700</v>
      </c>
      <c r="D94" s="64"/>
      <c r="E94" s="64"/>
      <c r="F94" s="59"/>
      <c r="G94" s="64"/>
      <c r="H94" s="64"/>
      <c r="I94" s="59"/>
      <c r="J94" s="59"/>
      <c r="K94" s="64"/>
      <c r="L94" s="59"/>
      <c r="M94" s="64"/>
      <c r="N94" s="64"/>
      <c r="O94" s="59">
        <f t="shared" si="11"/>
        <v>18700</v>
      </c>
      <c r="P94" s="29"/>
      <c r="Q94" s="29"/>
    </row>
    <row r="95" spans="1:17" s="52" customFormat="1" ht="15" customHeight="1">
      <c r="A95" s="69" t="s">
        <v>189</v>
      </c>
      <c r="B95" s="139" t="s">
        <v>190</v>
      </c>
      <c r="C95" s="64">
        <v>20500</v>
      </c>
      <c r="D95" s="64"/>
      <c r="E95" s="64"/>
      <c r="F95" s="59"/>
      <c r="G95" s="64"/>
      <c r="H95" s="64"/>
      <c r="I95" s="59"/>
      <c r="J95" s="59"/>
      <c r="K95" s="64"/>
      <c r="L95" s="59"/>
      <c r="M95" s="64"/>
      <c r="N95" s="64"/>
      <c r="O95" s="59">
        <f t="shared" si="11"/>
        <v>20500</v>
      </c>
      <c r="P95" s="29"/>
      <c r="Q95" s="29"/>
    </row>
    <row r="96" spans="1:17" s="52" customFormat="1" ht="15" customHeight="1">
      <c r="A96" s="69" t="s">
        <v>191</v>
      </c>
      <c r="B96" s="139" t="s">
        <v>192</v>
      </c>
      <c r="C96" s="64">
        <v>18100</v>
      </c>
      <c r="D96" s="64"/>
      <c r="E96" s="64"/>
      <c r="F96" s="59"/>
      <c r="G96" s="64"/>
      <c r="H96" s="64"/>
      <c r="I96" s="59"/>
      <c r="J96" s="59"/>
      <c r="K96" s="64"/>
      <c r="L96" s="59"/>
      <c r="M96" s="64"/>
      <c r="N96" s="64"/>
      <c r="O96" s="59">
        <f t="shared" si="11"/>
        <v>18100</v>
      </c>
      <c r="P96" s="29"/>
      <c r="Q96" s="29"/>
    </row>
    <row r="97" spans="1:17" s="52" customFormat="1" ht="15" customHeight="1">
      <c r="A97" s="69" t="s">
        <v>193</v>
      </c>
      <c r="B97" s="139" t="s">
        <v>194</v>
      </c>
      <c r="C97" s="64">
        <v>11100</v>
      </c>
      <c r="D97" s="64"/>
      <c r="E97" s="64"/>
      <c r="F97" s="59"/>
      <c r="G97" s="64"/>
      <c r="H97" s="64"/>
      <c r="I97" s="59"/>
      <c r="J97" s="59"/>
      <c r="K97" s="64"/>
      <c r="L97" s="59"/>
      <c r="M97" s="64"/>
      <c r="N97" s="64"/>
      <c r="O97" s="59">
        <f t="shared" si="11"/>
        <v>11100</v>
      </c>
      <c r="P97" s="29"/>
      <c r="Q97" s="29"/>
    </row>
    <row r="98" spans="1:17" s="52" customFormat="1" ht="15" customHeight="1">
      <c r="A98" s="69" t="s">
        <v>195</v>
      </c>
      <c r="B98" s="139" t="s">
        <v>196</v>
      </c>
      <c r="C98" s="64">
        <v>18700</v>
      </c>
      <c r="D98" s="64"/>
      <c r="E98" s="64"/>
      <c r="F98" s="59"/>
      <c r="G98" s="64"/>
      <c r="H98" s="64"/>
      <c r="I98" s="59"/>
      <c r="J98" s="59"/>
      <c r="K98" s="64"/>
      <c r="L98" s="59"/>
      <c r="M98" s="64"/>
      <c r="N98" s="64"/>
      <c r="O98" s="59">
        <f t="shared" si="11"/>
        <v>18700</v>
      </c>
      <c r="P98" s="29"/>
      <c r="Q98" s="29"/>
    </row>
    <row r="99" spans="1:17" s="52" customFormat="1" ht="15" customHeight="1">
      <c r="A99" s="81" t="s">
        <v>197</v>
      </c>
      <c r="B99" s="139" t="s">
        <v>198</v>
      </c>
      <c r="C99" s="64">
        <v>16600</v>
      </c>
      <c r="D99" s="64"/>
      <c r="E99" s="64"/>
      <c r="F99" s="59"/>
      <c r="G99" s="64"/>
      <c r="H99" s="64"/>
      <c r="I99" s="59"/>
      <c r="J99" s="59"/>
      <c r="K99" s="64"/>
      <c r="L99" s="59"/>
      <c r="M99" s="64"/>
      <c r="N99" s="64"/>
      <c r="O99" s="59">
        <f t="shared" si="11"/>
        <v>16600</v>
      </c>
      <c r="P99" s="29"/>
      <c r="Q99" s="29"/>
    </row>
    <row r="100" spans="1:17" s="52" customFormat="1" ht="15" customHeight="1">
      <c r="A100" s="81" t="s">
        <v>199</v>
      </c>
      <c r="B100" s="139" t="s">
        <v>200</v>
      </c>
      <c r="C100" s="64">
        <v>14600</v>
      </c>
      <c r="D100" s="64"/>
      <c r="E100" s="64"/>
      <c r="F100" s="59"/>
      <c r="G100" s="64"/>
      <c r="H100" s="64"/>
      <c r="I100" s="59"/>
      <c r="J100" s="59"/>
      <c r="K100" s="64"/>
      <c r="L100" s="59"/>
      <c r="M100" s="64"/>
      <c r="N100" s="64"/>
      <c r="O100" s="59">
        <f t="shared" si="11"/>
        <v>14600</v>
      </c>
      <c r="P100" s="29"/>
      <c r="Q100" s="29"/>
    </row>
    <row r="101" spans="1:17" s="72" customFormat="1" ht="15" customHeight="1">
      <c r="A101" s="69" t="s">
        <v>201</v>
      </c>
      <c r="B101" s="70" t="s">
        <v>410</v>
      </c>
      <c r="C101" s="64">
        <v>717000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59">
        <f>C101+F101+I101+L101</f>
        <v>717000</v>
      </c>
      <c r="P101" s="67"/>
      <c r="Q101" s="67"/>
    </row>
    <row r="102" spans="1:17" s="52" customFormat="1" ht="18" customHeight="1">
      <c r="A102" s="59" t="s">
        <v>202</v>
      </c>
      <c r="B102" s="148" t="s">
        <v>203</v>
      </c>
      <c r="C102" s="59">
        <v>70000</v>
      </c>
      <c r="D102" s="59">
        <v>24200</v>
      </c>
      <c r="E102" s="59">
        <v>40000</v>
      </c>
      <c r="F102" s="59">
        <v>672400</v>
      </c>
      <c r="G102" s="59">
        <v>646600</v>
      </c>
      <c r="H102" s="59"/>
      <c r="I102" s="59"/>
      <c r="J102" s="59"/>
      <c r="K102" s="59"/>
      <c r="L102" s="59"/>
      <c r="M102" s="59"/>
      <c r="N102" s="59"/>
      <c r="O102" s="59">
        <f>C102+F102+I102+L102</f>
        <v>742400</v>
      </c>
      <c r="P102" s="29"/>
      <c r="Q102" s="29"/>
    </row>
    <row r="103" spans="1:17" s="54" customFormat="1" ht="18.75" customHeight="1">
      <c r="A103" s="73"/>
      <c r="B103" s="189" t="s">
        <v>204</v>
      </c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29"/>
      <c r="Q103" s="29"/>
    </row>
    <row r="104" spans="1:17" s="72" customFormat="1" ht="16.5" customHeight="1">
      <c r="A104" s="64"/>
      <c r="B104" s="61" t="s">
        <v>107</v>
      </c>
      <c r="C104" s="62">
        <f aca="true" t="shared" si="15" ref="C104:O104">C105+C111+C119+C122</f>
        <v>360000</v>
      </c>
      <c r="D104" s="62">
        <f t="shared" si="15"/>
        <v>0</v>
      </c>
      <c r="E104" s="62">
        <f t="shared" si="15"/>
        <v>40000</v>
      </c>
      <c r="F104" s="62">
        <f t="shared" si="15"/>
        <v>288900</v>
      </c>
      <c r="G104" s="62">
        <f t="shared" si="15"/>
        <v>229070</v>
      </c>
      <c r="H104" s="62">
        <f t="shared" si="15"/>
        <v>0</v>
      </c>
      <c r="I104" s="62">
        <f t="shared" si="15"/>
        <v>0</v>
      </c>
      <c r="J104" s="62">
        <f t="shared" si="15"/>
        <v>0</v>
      </c>
      <c r="K104" s="62">
        <f t="shared" si="15"/>
        <v>0</v>
      </c>
      <c r="L104" s="62">
        <f t="shared" si="15"/>
        <v>943161</v>
      </c>
      <c r="M104" s="62">
        <f t="shared" si="15"/>
        <v>0</v>
      </c>
      <c r="N104" s="62">
        <f t="shared" si="15"/>
        <v>0</v>
      </c>
      <c r="O104" s="62">
        <f t="shared" si="15"/>
        <v>1592061</v>
      </c>
      <c r="P104" s="67"/>
      <c r="Q104" s="67">
        <f>O104+P104</f>
        <v>1592061</v>
      </c>
    </row>
    <row r="105" spans="1:17" s="72" customFormat="1" ht="30" customHeight="1">
      <c r="A105" s="59" t="s">
        <v>205</v>
      </c>
      <c r="B105" s="61" t="s">
        <v>206</v>
      </c>
      <c r="C105" s="62">
        <f>SUM(C106,C109,C108,C110)</f>
        <v>0</v>
      </c>
      <c r="D105" s="62">
        <f aca="true" t="shared" si="16" ref="D105:K105">SUM(D106,D109,D108,D110)</f>
        <v>0</v>
      </c>
      <c r="E105" s="62">
        <f t="shared" si="16"/>
        <v>0</v>
      </c>
      <c r="F105" s="62">
        <f t="shared" si="16"/>
        <v>0</v>
      </c>
      <c r="G105" s="62">
        <f t="shared" si="16"/>
        <v>0</v>
      </c>
      <c r="H105" s="62">
        <f t="shared" si="16"/>
        <v>0</v>
      </c>
      <c r="I105" s="62">
        <f t="shared" si="16"/>
        <v>0</v>
      </c>
      <c r="J105" s="62"/>
      <c r="K105" s="62">
        <f t="shared" si="16"/>
        <v>0</v>
      </c>
      <c r="L105" s="62">
        <f>SUM(L106:L110)</f>
        <v>173815</v>
      </c>
      <c r="M105" s="62">
        <f>SUM(M106:M110)</f>
        <v>0</v>
      </c>
      <c r="N105" s="62">
        <f>SUM(N106:N110)</f>
        <v>0</v>
      </c>
      <c r="O105" s="59">
        <f aca="true" t="shared" si="17" ref="O105:O123">C105+F105+I105+L105</f>
        <v>173815</v>
      </c>
      <c r="P105" s="67"/>
      <c r="Q105" s="67"/>
    </row>
    <row r="106" spans="1:17" s="80" customFormat="1" ht="18.75" customHeight="1">
      <c r="A106" s="69" t="s">
        <v>207</v>
      </c>
      <c r="B106" s="70" t="s">
        <v>208</v>
      </c>
      <c r="C106" s="74"/>
      <c r="D106" s="74"/>
      <c r="E106" s="74"/>
      <c r="F106" s="74"/>
      <c r="G106" s="74"/>
      <c r="H106" s="74"/>
      <c r="I106" s="74"/>
      <c r="J106" s="74"/>
      <c r="K106" s="74"/>
      <c r="L106" s="74">
        <v>9000</v>
      </c>
      <c r="M106" s="74"/>
      <c r="N106" s="74"/>
      <c r="O106" s="59">
        <f t="shared" si="17"/>
        <v>9000</v>
      </c>
      <c r="P106" s="67"/>
      <c r="Q106" s="67"/>
    </row>
    <row r="107" spans="1:17" s="80" customFormat="1" ht="29.25" customHeight="1">
      <c r="A107" s="82" t="s">
        <v>209</v>
      </c>
      <c r="B107" s="70" t="s">
        <v>210</v>
      </c>
      <c r="C107" s="149"/>
      <c r="D107" s="149"/>
      <c r="E107" s="149"/>
      <c r="F107" s="149"/>
      <c r="G107" s="149"/>
      <c r="H107" s="149"/>
      <c r="I107" s="149"/>
      <c r="J107" s="149"/>
      <c r="K107" s="149"/>
      <c r="L107" s="149">
        <f>39000+9592+9291</f>
        <v>57883</v>
      </c>
      <c r="M107" s="149"/>
      <c r="N107" s="149"/>
      <c r="O107" s="59">
        <f t="shared" si="17"/>
        <v>57883</v>
      </c>
      <c r="P107" s="67"/>
      <c r="Q107" s="67"/>
    </row>
    <row r="108" spans="1:17" s="92" customFormat="1" ht="16.5" customHeight="1">
      <c r="A108" s="82" t="s">
        <v>211</v>
      </c>
      <c r="B108" s="150" t="s">
        <v>212</v>
      </c>
      <c r="C108" s="142"/>
      <c r="D108" s="142"/>
      <c r="E108" s="142"/>
      <c r="F108" s="142"/>
      <c r="G108" s="142"/>
      <c r="H108" s="142"/>
      <c r="I108" s="142"/>
      <c r="J108" s="142"/>
      <c r="K108" s="142"/>
      <c r="L108" s="142">
        <f>1000</f>
        <v>1000</v>
      </c>
      <c r="M108" s="142"/>
      <c r="N108" s="142"/>
      <c r="O108" s="59">
        <f t="shared" si="17"/>
        <v>1000</v>
      </c>
      <c r="P108" s="57"/>
      <c r="Q108" s="57"/>
    </row>
    <row r="109" spans="1:17" s="80" customFormat="1" ht="30" customHeight="1">
      <c r="A109" s="69" t="s">
        <v>213</v>
      </c>
      <c r="B109" s="70" t="s">
        <v>214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>
        <f>40000+49932</f>
        <v>89932</v>
      </c>
      <c r="M109" s="74"/>
      <c r="N109" s="74"/>
      <c r="O109" s="59">
        <f t="shared" si="17"/>
        <v>89932</v>
      </c>
      <c r="P109" s="67"/>
      <c r="Q109" s="67"/>
    </row>
    <row r="110" spans="1:17" s="92" customFormat="1" ht="18" customHeight="1">
      <c r="A110" s="69" t="s">
        <v>215</v>
      </c>
      <c r="B110" s="70" t="s">
        <v>216</v>
      </c>
      <c r="C110" s="64"/>
      <c r="D110" s="64"/>
      <c r="E110" s="64"/>
      <c r="F110" s="64"/>
      <c r="G110" s="64"/>
      <c r="H110" s="64"/>
      <c r="I110" s="64"/>
      <c r="J110" s="64"/>
      <c r="K110" s="64"/>
      <c r="L110" s="64">
        <f>8594+7406</f>
        <v>16000</v>
      </c>
      <c r="M110" s="64"/>
      <c r="N110" s="64"/>
      <c r="O110" s="59">
        <f t="shared" si="17"/>
        <v>16000</v>
      </c>
      <c r="P110" s="57"/>
      <c r="Q110" s="57"/>
    </row>
    <row r="111" spans="1:17" s="68" customFormat="1" ht="18.75" customHeight="1">
      <c r="A111" s="59" t="s">
        <v>217</v>
      </c>
      <c r="B111" s="61" t="s">
        <v>109</v>
      </c>
      <c r="C111" s="59">
        <f aca="true" t="shared" si="18" ref="C111:N111">SUM(C112:C118)</f>
        <v>360000</v>
      </c>
      <c r="D111" s="59">
        <f t="shared" si="18"/>
        <v>0</v>
      </c>
      <c r="E111" s="59">
        <f t="shared" si="18"/>
        <v>40000</v>
      </c>
      <c r="F111" s="59">
        <f t="shared" si="18"/>
        <v>2100</v>
      </c>
      <c r="G111" s="59">
        <f t="shared" si="18"/>
        <v>1870</v>
      </c>
      <c r="H111" s="59">
        <f t="shared" si="18"/>
        <v>0</v>
      </c>
      <c r="I111" s="59">
        <f t="shared" si="18"/>
        <v>0</v>
      </c>
      <c r="J111" s="59">
        <f t="shared" si="18"/>
        <v>0</v>
      </c>
      <c r="K111" s="59">
        <f t="shared" si="18"/>
        <v>0</v>
      </c>
      <c r="L111" s="59">
        <f>SUM(L112:L118)</f>
        <v>715000</v>
      </c>
      <c r="M111" s="59">
        <f t="shared" si="18"/>
        <v>0</v>
      </c>
      <c r="N111" s="59">
        <f t="shared" si="18"/>
        <v>0</v>
      </c>
      <c r="O111" s="59">
        <f t="shared" si="17"/>
        <v>1077100</v>
      </c>
      <c r="P111" s="67"/>
      <c r="Q111" s="67"/>
    </row>
    <row r="112" spans="1:17" s="80" customFormat="1" ht="44.25" customHeight="1">
      <c r="A112" s="63" t="s">
        <v>218</v>
      </c>
      <c r="B112" s="70" t="s">
        <v>564</v>
      </c>
      <c r="C112" s="74">
        <f>220000+50000</f>
        <v>270000</v>
      </c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59">
        <f t="shared" si="17"/>
        <v>270000</v>
      </c>
      <c r="P112" s="67"/>
      <c r="Q112" s="67"/>
    </row>
    <row r="113" spans="1:21" s="72" customFormat="1" ht="43.5" customHeight="1">
      <c r="A113" s="69" t="s">
        <v>219</v>
      </c>
      <c r="B113" s="70" t="s">
        <v>415</v>
      </c>
      <c r="C113" s="74">
        <v>40000</v>
      </c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59">
        <f>C113+F113+I113+L113</f>
        <v>40000</v>
      </c>
      <c r="Q113" s="53"/>
      <c r="T113" s="53"/>
      <c r="U113" s="53"/>
    </row>
    <row r="114" spans="1:21" s="72" customFormat="1" ht="27.75" customHeight="1">
      <c r="A114" s="63" t="s">
        <v>220</v>
      </c>
      <c r="B114" s="70" t="s">
        <v>506</v>
      </c>
      <c r="C114" s="74">
        <v>10000</v>
      </c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59">
        <f>C114+F114+I114+L114</f>
        <v>10000</v>
      </c>
      <c r="Q114" s="53"/>
      <c r="T114" s="53"/>
      <c r="U114" s="53"/>
    </row>
    <row r="115" spans="1:17" s="72" customFormat="1" ht="15.75" customHeight="1">
      <c r="A115" s="63" t="s">
        <v>221</v>
      </c>
      <c r="B115" s="70" t="s">
        <v>222</v>
      </c>
      <c r="C115" s="74"/>
      <c r="D115" s="62"/>
      <c r="E115" s="62"/>
      <c r="F115" s="74">
        <v>2100</v>
      </c>
      <c r="G115" s="74">
        <v>1870</v>
      </c>
      <c r="H115" s="74"/>
      <c r="I115" s="74"/>
      <c r="J115" s="62"/>
      <c r="K115" s="74"/>
      <c r="L115" s="62"/>
      <c r="M115" s="62"/>
      <c r="N115" s="62"/>
      <c r="O115" s="59">
        <f t="shared" si="17"/>
        <v>2100</v>
      </c>
      <c r="P115" s="67"/>
      <c r="Q115" s="67"/>
    </row>
    <row r="116" spans="1:17" s="72" customFormat="1" ht="30" customHeight="1">
      <c r="A116" s="63" t="s">
        <v>223</v>
      </c>
      <c r="B116" s="70" t="s">
        <v>224</v>
      </c>
      <c r="C116" s="74">
        <v>40000</v>
      </c>
      <c r="D116" s="62"/>
      <c r="E116" s="74">
        <v>40000</v>
      </c>
      <c r="F116" s="62"/>
      <c r="G116" s="62"/>
      <c r="H116" s="62"/>
      <c r="I116" s="74"/>
      <c r="J116" s="62"/>
      <c r="K116" s="74"/>
      <c r="L116" s="62"/>
      <c r="M116" s="62"/>
      <c r="N116" s="62"/>
      <c r="O116" s="59">
        <f t="shared" si="17"/>
        <v>40000</v>
      </c>
      <c r="P116" s="67"/>
      <c r="Q116" s="67"/>
    </row>
    <row r="117" spans="1:17" s="80" customFormat="1" ht="16.5" customHeight="1">
      <c r="A117" s="63" t="s">
        <v>225</v>
      </c>
      <c r="B117" s="70" t="s">
        <v>226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>
        <v>715000</v>
      </c>
      <c r="M117" s="74"/>
      <c r="N117" s="74"/>
      <c r="O117" s="59">
        <f>C117+F117+I117+L117</f>
        <v>715000</v>
      </c>
      <c r="P117" s="67"/>
      <c r="Q117" s="67"/>
    </row>
    <row r="118" spans="1:17" s="6" customFormat="1" ht="45" customHeight="1" hidden="1">
      <c r="A118" s="151" t="s">
        <v>507</v>
      </c>
      <c r="B118" s="152" t="s">
        <v>473</v>
      </c>
      <c r="C118" s="153"/>
      <c r="D118" s="153"/>
      <c r="E118" s="153"/>
      <c r="F118" s="153"/>
      <c r="G118" s="153"/>
      <c r="H118" s="153"/>
      <c r="I118" s="153"/>
      <c r="J118" s="153"/>
      <c r="K118" s="153"/>
      <c r="L118" s="154"/>
      <c r="M118" s="154"/>
      <c r="N118" s="154" t="s">
        <v>474</v>
      </c>
      <c r="O118" s="155">
        <f>C118+F118+I118+L118</f>
        <v>0</v>
      </c>
      <c r="P118" s="67"/>
      <c r="Q118" s="67"/>
    </row>
    <row r="119" spans="1:17" s="137" customFormat="1" ht="28.5" customHeight="1">
      <c r="A119" s="156" t="s">
        <v>227</v>
      </c>
      <c r="B119" s="157" t="s">
        <v>228</v>
      </c>
      <c r="C119" s="158">
        <f aca="true" t="shared" si="19" ref="C119:N119">SUM(C120:C121)</f>
        <v>0</v>
      </c>
      <c r="D119" s="158">
        <f t="shared" si="19"/>
        <v>0</v>
      </c>
      <c r="E119" s="158">
        <f t="shared" si="19"/>
        <v>0</v>
      </c>
      <c r="F119" s="158">
        <f t="shared" si="19"/>
        <v>0</v>
      </c>
      <c r="G119" s="158">
        <f t="shared" si="19"/>
        <v>0</v>
      </c>
      <c r="H119" s="158">
        <f t="shared" si="19"/>
        <v>0</v>
      </c>
      <c r="I119" s="158">
        <f t="shared" si="19"/>
        <v>0</v>
      </c>
      <c r="J119" s="158">
        <f t="shared" si="19"/>
        <v>0</v>
      </c>
      <c r="K119" s="158">
        <f t="shared" si="19"/>
        <v>0</v>
      </c>
      <c r="L119" s="156">
        <f t="shared" si="19"/>
        <v>46846</v>
      </c>
      <c r="M119" s="158">
        <f t="shared" si="19"/>
        <v>0</v>
      </c>
      <c r="N119" s="158">
        <f t="shared" si="19"/>
        <v>0</v>
      </c>
      <c r="O119" s="156">
        <f t="shared" si="17"/>
        <v>46846</v>
      </c>
      <c r="P119" s="57"/>
      <c r="Q119" s="57"/>
    </row>
    <row r="120" spans="1:17" s="161" customFormat="1" ht="15.75" customHeight="1">
      <c r="A120" s="159" t="s">
        <v>229</v>
      </c>
      <c r="B120" s="160" t="s">
        <v>565</v>
      </c>
      <c r="C120" s="154"/>
      <c r="D120" s="154"/>
      <c r="E120" s="154"/>
      <c r="F120" s="154"/>
      <c r="G120" s="154"/>
      <c r="H120" s="154"/>
      <c r="I120" s="154"/>
      <c r="J120" s="154"/>
      <c r="K120" s="154"/>
      <c r="L120" s="154">
        <v>1488</v>
      </c>
      <c r="M120" s="154"/>
      <c r="N120" s="154"/>
      <c r="O120" s="156">
        <f t="shared" si="17"/>
        <v>1488</v>
      </c>
      <c r="P120" s="83"/>
      <c r="Q120" s="83"/>
    </row>
    <row r="121" spans="1:17" s="161" customFormat="1" ht="15.75" customHeight="1">
      <c r="A121" s="159" t="s">
        <v>230</v>
      </c>
      <c r="B121" s="160" t="s">
        <v>566</v>
      </c>
      <c r="C121" s="154"/>
      <c r="D121" s="154"/>
      <c r="E121" s="154"/>
      <c r="F121" s="154"/>
      <c r="G121" s="154"/>
      <c r="H121" s="154"/>
      <c r="I121" s="154"/>
      <c r="J121" s="154"/>
      <c r="K121" s="154"/>
      <c r="L121" s="154">
        <v>45358</v>
      </c>
      <c r="M121" s="154"/>
      <c r="N121" s="154"/>
      <c r="O121" s="156">
        <f t="shared" si="17"/>
        <v>45358</v>
      </c>
      <c r="P121" s="83"/>
      <c r="Q121" s="83"/>
    </row>
    <row r="122" spans="1:17" s="58" customFormat="1" ht="28.5" customHeight="1">
      <c r="A122" s="85" t="s">
        <v>231</v>
      </c>
      <c r="B122" s="148" t="s">
        <v>232</v>
      </c>
      <c r="C122" s="62">
        <f>SUM(C123,C124)</f>
        <v>0</v>
      </c>
      <c r="D122" s="62">
        <f aca="true" t="shared" si="20" ref="D122:O122">SUM(D123,D124)</f>
        <v>0</v>
      </c>
      <c r="E122" s="62">
        <f t="shared" si="20"/>
        <v>0</v>
      </c>
      <c r="F122" s="62">
        <f t="shared" si="20"/>
        <v>286800</v>
      </c>
      <c r="G122" s="62">
        <f t="shared" si="20"/>
        <v>227200</v>
      </c>
      <c r="H122" s="62">
        <f t="shared" si="20"/>
        <v>0</v>
      </c>
      <c r="I122" s="62">
        <f t="shared" si="20"/>
        <v>0</v>
      </c>
      <c r="J122" s="62">
        <f t="shared" si="20"/>
        <v>0</v>
      </c>
      <c r="K122" s="62">
        <f t="shared" si="20"/>
        <v>0</v>
      </c>
      <c r="L122" s="62">
        <f t="shared" si="20"/>
        <v>7500</v>
      </c>
      <c r="M122" s="62">
        <f t="shared" si="20"/>
        <v>0</v>
      </c>
      <c r="N122" s="62">
        <f t="shared" si="20"/>
        <v>0</v>
      </c>
      <c r="O122" s="62">
        <f t="shared" si="20"/>
        <v>294300</v>
      </c>
      <c r="P122" s="57"/>
      <c r="Q122" s="57"/>
    </row>
    <row r="123" spans="1:17" s="72" customFormat="1" ht="46.5" customHeight="1">
      <c r="A123" s="69" t="s">
        <v>233</v>
      </c>
      <c r="B123" s="162" t="s">
        <v>567</v>
      </c>
      <c r="C123" s="64"/>
      <c r="D123" s="64"/>
      <c r="E123" s="64"/>
      <c r="F123" s="64">
        <f>76600+161000</f>
        <v>237600</v>
      </c>
      <c r="G123" s="64">
        <f>59100+131100</f>
        <v>190200</v>
      </c>
      <c r="H123" s="64"/>
      <c r="I123" s="64"/>
      <c r="J123" s="64"/>
      <c r="K123" s="64"/>
      <c r="L123" s="64"/>
      <c r="M123" s="64"/>
      <c r="N123" s="64"/>
      <c r="O123" s="59">
        <f t="shared" si="17"/>
        <v>237600</v>
      </c>
      <c r="P123" s="67"/>
      <c r="Q123" s="67"/>
    </row>
    <row r="124" spans="1:17" s="72" customFormat="1" ht="45.75" customHeight="1">
      <c r="A124" s="69" t="s">
        <v>234</v>
      </c>
      <c r="B124" s="163" t="s">
        <v>568</v>
      </c>
      <c r="C124" s="74"/>
      <c r="D124" s="62"/>
      <c r="E124" s="62"/>
      <c r="F124" s="74">
        <v>49200</v>
      </c>
      <c r="G124" s="74">
        <v>37000</v>
      </c>
      <c r="H124" s="62"/>
      <c r="I124" s="62"/>
      <c r="J124" s="62"/>
      <c r="K124" s="62"/>
      <c r="L124" s="74">
        <v>7500</v>
      </c>
      <c r="M124" s="62"/>
      <c r="N124" s="62"/>
      <c r="O124" s="59">
        <f>C124+F124+I124+L124</f>
        <v>56700</v>
      </c>
      <c r="P124" s="67"/>
      <c r="Q124" s="67"/>
    </row>
    <row r="125" spans="1:17" s="54" customFormat="1" ht="18" customHeight="1">
      <c r="A125" s="73"/>
      <c r="B125" s="189" t="s">
        <v>235</v>
      </c>
      <c r="C125" s="189"/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29"/>
      <c r="Q125" s="29"/>
    </row>
    <row r="126" spans="1:17" s="72" customFormat="1" ht="18" customHeight="1">
      <c r="A126" s="64"/>
      <c r="B126" s="61" t="s">
        <v>107</v>
      </c>
      <c r="C126" s="62">
        <f aca="true" t="shared" si="21" ref="C126:O126">SUM(C127,C128,C129,C130,C131,C132,C133,C134,C138,C154)</f>
        <v>3658450</v>
      </c>
      <c r="D126" s="62">
        <f t="shared" si="21"/>
        <v>2448860</v>
      </c>
      <c r="E126" s="62">
        <f t="shared" si="21"/>
        <v>417500</v>
      </c>
      <c r="F126" s="62">
        <f t="shared" si="21"/>
        <v>67599</v>
      </c>
      <c r="G126" s="62">
        <f t="shared" si="21"/>
        <v>2960</v>
      </c>
      <c r="H126" s="62">
        <f t="shared" si="21"/>
        <v>44599</v>
      </c>
      <c r="I126" s="62">
        <f t="shared" si="21"/>
        <v>0</v>
      </c>
      <c r="J126" s="62">
        <f t="shared" si="21"/>
        <v>0</v>
      </c>
      <c r="K126" s="62">
        <f t="shared" si="21"/>
        <v>0</v>
      </c>
      <c r="L126" s="62">
        <f t="shared" si="21"/>
        <v>41231</v>
      </c>
      <c r="M126" s="62">
        <f t="shared" si="21"/>
        <v>0</v>
      </c>
      <c r="N126" s="62">
        <f t="shared" si="21"/>
        <v>0</v>
      </c>
      <c r="O126" s="62">
        <f t="shared" si="21"/>
        <v>3767280</v>
      </c>
      <c r="P126" s="67"/>
      <c r="Q126" s="67">
        <f>O126+P126</f>
        <v>3767280</v>
      </c>
    </row>
    <row r="127" spans="1:17" s="58" customFormat="1" ht="17.25" customHeight="1">
      <c r="A127" s="59" t="s">
        <v>236</v>
      </c>
      <c r="B127" s="148" t="s">
        <v>237</v>
      </c>
      <c r="C127" s="59">
        <v>807800</v>
      </c>
      <c r="D127" s="59">
        <v>695710</v>
      </c>
      <c r="E127" s="59">
        <v>1500</v>
      </c>
      <c r="F127" s="59">
        <v>30040</v>
      </c>
      <c r="G127" s="59"/>
      <c r="H127" s="59">
        <v>30040</v>
      </c>
      <c r="I127" s="59"/>
      <c r="J127" s="59"/>
      <c r="K127" s="59"/>
      <c r="L127" s="59">
        <f>1307+1085</f>
        <v>2392</v>
      </c>
      <c r="M127" s="59"/>
      <c r="N127" s="59"/>
      <c r="O127" s="59">
        <f>C127+F127+I127+L127</f>
        <v>840232</v>
      </c>
      <c r="P127" s="57"/>
      <c r="Q127" s="57"/>
    </row>
    <row r="128" spans="1:17" s="58" customFormat="1" ht="17.25" customHeight="1">
      <c r="A128" s="59" t="s">
        <v>238</v>
      </c>
      <c r="B128" s="61" t="s">
        <v>239</v>
      </c>
      <c r="C128" s="59">
        <f>230760-1500</f>
        <v>229260</v>
      </c>
      <c r="D128" s="59">
        <f>200590-1480</f>
        <v>199110</v>
      </c>
      <c r="E128" s="59"/>
      <c r="F128" s="59">
        <v>1500</v>
      </c>
      <c r="G128" s="59">
        <v>1480</v>
      </c>
      <c r="H128" s="59"/>
      <c r="I128" s="59"/>
      <c r="J128" s="59"/>
      <c r="K128" s="59"/>
      <c r="L128" s="59">
        <f>8000+8000</f>
        <v>16000</v>
      </c>
      <c r="M128" s="59"/>
      <c r="N128" s="59"/>
      <c r="O128" s="59">
        <f aca="true" t="shared" si="22" ref="O128:O155">C128+F128+I128+L128</f>
        <v>246760</v>
      </c>
      <c r="P128" s="57"/>
      <c r="Q128" s="57"/>
    </row>
    <row r="129" spans="1:17" s="68" customFormat="1" ht="17.25" customHeight="1">
      <c r="A129" s="59" t="s">
        <v>240</v>
      </c>
      <c r="B129" s="61" t="s">
        <v>241</v>
      </c>
      <c r="C129" s="59">
        <v>762470</v>
      </c>
      <c r="D129" s="59">
        <v>683800</v>
      </c>
      <c r="E129" s="59"/>
      <c r="F129" s="59"/>
      <c r="G129" s="59"/>
      <c r="H129" s="59"/>
      <c r="I129" s="59"/>
      <c r="J129" s="59"/>
      <c r="K129" s="59"/>
      <c r="L129" s="59">
        <f>1000+6000</f>
        <v>7000</v>
      </c>
      <c r="M129" s="59"/>
      <c r="N129" s="59"/>
      <c r="O129" s="59">
        <f t="shared" si="22"/>
        <v>769470</v>
      </c>
      <c r="P129" s="67"/>
      <c r="Q129" s="67"/>
    </row>
    <row r="130" spans="1:17" s="68" customFormat="1" ht="17.25" customHeight="1">
      <c r="A130" s="59" t="s">
        <v>242</v>
      </c>
      <c r="B130" s="61" t="s">
        <v>243</v>
      </c>
      <c r="C130" s="59">
        <f>143290-1500</f>
        <v>141790</v>
      </c>
      <c r="D130" s="59">
        <f>118560-1480</f>
        <v>117080</v>
      </c>
      <c r="E130" s="59"/>
      <c r="F130" s="59">
        <v>1500</v>
      </c>
      <c r="G130" s="59">
        <v>1480</v>
      </c>
      <c r="H130" s="59"/>
      <c r="I130" s="59"/>
      <c r="J130" s="59"/>
      <c r="K130" s="59"/>
      <c r="L130" s="59">
        <f>250+500</f>
        <v>750</v>
      </c>
      <c r="M130" s="59"/>
      <c r="N130" s="59"/>
      <c r="O130" s="59">
        <f t="shared" si="22"/>
        <v>144040</v>
      </c>
      <c r="P130" s="67"/>
      <c r="Q130" s="67"/>
    </row>
    <row r="131" spans="1:17" s="68" customFormat="1" ht="17.25" customHeight="1">
      <c r="A131" s="59" t="s">
        <v>244</v>
      </c>
      <c r="B131" s="61" t="s">
        <v>245</v>
      </c>
      <c r="C131" s="59">
        <v>96900</v>
      </c>
      <c r="D131" s="59">
        <v>81090</v>
      </c>
      <c r="E131" s="59"/>
      <c r="F131" s="59"/>
      <c r="G131" s="59"/>
      <c r="H131" s="59"/>
      <c r="I131" s="59"/>
      <c r="J131" s="59"/>
      <c r="K131" s="59"/>
      <c r="L131" s="59">
        <f>400</f>
        <v>400</v>
      </c>
      <c r="M131" s="59"/>
      <c r="N131" s="59"/>
      <c r="O131" s="59">
        <f t="shared" si="22"/>
        <v>97300</v>
      </c>
      <c r="P131" s="67"/>
      <c r="Q131" s="67"/>
    </row>
    <row r="132" spans="1:17" s="68" customFormat="1" ht="16.5" customHeight="1">
      <c r="A132" s="59" t="s">
        <v>246</v>
      </c>
      <c r="B132" s="61" t="s">
        <v>247</v>
      </c>
      <c r="C132" s="59">
        <v>138920</v>
      </c>
      <c r="D132" s="59">
        <v>108570</v>
      </c>
      <c r="E132" s="59"/>
      <c r="F132" s="59"/>
      <c r="G132" s="59"/>
      <c r="H132" s="59"/>
      <c r="I132" s="59"/>
      <c r="J132" s="59"/>
      <c r="K132" s="59"/>
      <c r="L132" s="59">
        <v>4000</v>
      </c>
      <c r="M132" s="59"/>
      <c r="N132" s="59"/>
      <c r="O132" s="59">
        <f t="shared" si="22"/>
        <v>142920</v>
      </c>
      <c r="P132" s="67"/>
      <c r="Q132" s="67"/>
    </row>
    <row r="133" spans="1:17" s="68" customFormat="1" ht="17.25" customHeight="1">
      <c r="A133" s="59" t="s">
        <v>248</v>
      </c>
      <c r="B133" s="61" t="s">
        <v>249</v>
      </c>
      <c r="C133" s="59">
        <v>135690</v>
      </c>
      <c r="D133" s="59">
        <v>121550</v>
      </c>
      <c r="E133" s="59"/>
      <c r="F133" s="59"/>
      <c r="G133" s="59"/>
      <c r="H133" s="59"/>
      <c r="I133" s="59"/>
      <c r="J133" s="59"/>
      <c r="K133" s="59"/>
      <c r="L133" s="59">
        <f>126+1123</f>
        <v>1249</v>
      </c>
      <c r="M133" s="59"/>
      <c r="N133" s="59"/>
      <c r="O133" s="59">
        <f t="shared" si="22"/>
        <v>136939</v>
      </c>
      <c r="P133" s="67"/>
      <c r="Q133" s="67"/>
    </row>
    <row r="134" spans="1:17" s="52" customFormat="1" ht="15" customHeight="1">
      <c r="A134" s="59" t="s">
        <v>250</v>
      </c>
      <c r="B134" s="148" t="s">
        <v>569</v>
      </c>
      <c r="C134" s="59">
        <f>SUM(C135:C137)</f>
        <v>504120</v>
      </c>
      <c r="D134" s="59">
        <f aca="true" t="shared" si="23" ref="D134:I134">SUM(D135:D137)</f>
        <v>441950</v>
      </c>
      <c r="E134" s="59">
        <f t="shared" si="23"/>
        <v>0</v>
      </c>
      <c r="F134" s="59"/>
      <c r="G134" s="59"/>
      <c r="H134" s="59">
        <f t="shared" si="23"/>
        <v>0</v>
      </c>
      <c r="I134" s="59">
        <f t="shared" si="23"/>
        <v>0</v>
      </c>
      <c r="J134" s="59"/>
      <c r="K134" s="59">
        <f>SUM(K135:K137)</f>
        <v>0</v>
      </c>
      <c r="L134" s="59">
        <f>SUM(L135:L137)</f>
        <v>9440</v>
      </c>
      <c r="M134" s="59">
        <f>SUM(M135:M137)</f>
        <v>0</v>
      </c>
      <c r="N134" s="59">
        <f>SUM(N135:N137)</f>
        <v>0</v>
      </c>
      <c r="O134" s="59">
        <f t="shared" si="22"/>
        <v>513560</v>
      </c>
      <c r="P134" s="29"/>
      <c r="Q134" s="29"/>
    </row>
    <row r="135" spans="1:17" s="52" customFormat="1" ht="15.75" customHeight="1">
      <c r="A135" s="69" t="s">
        <v>251</v>
      </c>
      <c r="B135" s="139" t="s">
        <v>618</v>
      </c>
      <c r="C135" s="64">
        <v>470120</v>
      </c>
      <c r="D135" s="64">
        <v>441950</v>
      </c>
      <c r="E135" s="64"/>
      <c r="F135" s="59"/>
      <c r="G135" s="64"/>
      <c r="H135" s="64"/>
      <c r="I135" s="59"/>
      <c r="J135" s="59"/>
      <c r="K135" s="64"/>
      <c r="L135" s="64">
        <f>1440+800+7200</f>
        <v>9440</v>
      </c>
      <c r="M135" s="64"/>
      <c r="N135" s="64"/>
      <c r="O135" s="59">
        <f t="shared" si="22"/>
        <v>479560</v>
      </c>
      <c r="P135" s="29"/>
      <c r="Q135" s="29"/>
    </row>
    <row r="136" spans="1:17" s="52" customFormat="1" ht="16.5" customHeight="1">
      <c r="A136" s="69" t="s">
        <v>252</v>
      </c>
      <c r="B136" s="139" t="s">
        <v>416</v>
      </c>
      <c r="C136" s="74">
        <v>12000</v>
      </c>
      <c r="D136" s="64"/>
      <c r="E136" s="64"/>
      <c r="F136" s="62"/>
      <c r="G136" s="64"/>
      <c r="H136" s="64"/>
      <c r="I136" s="62"/>
      <c r="J136" s="62"/>
      <c r="K136" s="64"/>
      <c r="L136" s="62"/>
      <c r="M136" s="64"/>
      <c r="N136" s="64"/>
      <c r="O136" s="59">
        <f t="shared" si="22"/>
        <v>12000</v>
      </c>
      <c r="P136" s="29"/>
      <c r="Q136" s="29"/>
    </row>
    <row r="137" spans="1:17" s="52" customFormat="1" ht="16.5" customHeight="1">
      <c r="A137" s="69" t="s">
        <v>253</v>
      </c>
      <c r="B137" s="139" t="s">
        <v>254</v>
      </c>
      <c r="C137" s="74">
        <v>22000</v>
      </c>
      <c r="D137" s="64"/>
      <c r="E137" s="64"/>
      <c r="F137" s="62"/>
      <c r="G137" s="64"/>
      <c r="H137" s="64"/>
      <c r="I137" s="62"/>
      <c r="J137" s="62"/>
      <c r="K137" s="64"/>
      <c r="L137" s="62"/>
      <c r="M137" s="64"/>
      <c r="N137" s="64"/>
      <c r="O137" s="59">
        <f t="shared" si="22"/>
        <v>22000</v>
      </c>
      <c r="P137" s="29"/>
      <c r="Q137" s="29"/>
    </row>
    <row r="138" spans="1:17" s="72" customFormat="1" ht="17.25" customHeight="1">
      <c r="A138" s="59" t="s">
        <v>255</v>
      </c>
      <c r="B138" s="61" t="s">
        <v>256</v>
      </c>
      <c r="C138" s="62">
        <f aca="true" t="shared" si="24" ref="C138:N138">SUM(C139:C153)</f>
        <v>649000</v>
      </c>
      <c r="D138" s="62">
        <f t="shared" si="24"/>
        <v>0</v>
      </c>
      <c r="E138" s="62">
        <f t="shared" si="24"/>
        <v>400000</v>
      </c>
      <c r="F138" s="62">
        <f t="shared" si="24"/>
        <v>34559</v>
      </c>
      <c r="G138" s="62">
        <f t="shared" si="24"/>
        <v>0</v>
      </c>
      <c r="H138" s="62">
        <f t="shared" si="24"/>
        <v>14559</v>
      </c>
      <c r="I138" s="62">
        <f t="shared" si="24"/>
        <v>0</v>
      </c>
      <c r="J138" s="62">
        <f t="shared" si="24"/>
        <v>0</v>
      </c>
      <c r="K138" s="62">
        <f t="shared" si="24"/>
        <v>0</v>
      </c>
      <c r="L138" s="62">
        <f t="shared" si="24"/>
        <v>0</v>
      </c>
      <c r="M138" s="62">
        <f t="shared" si="24"/>
        <v>0</v>
      </c>
      <c r="N138" s="62">
        <f t="shared" si="24"/>
        <v>0</v>
      </c>
      <c r="O138" s="59">
        <f>C138+F138+I138+L138</f>
        <v>683559</v>
      </c>
      <c r="P138" s="67"/>
      <c r="Q138" s="67"/>
    </row>
    <row r="139" spans="1:17" s="80" customFormat="1" ht="30" customHeight="1">
      <c r="A139" s="69" t="s">
        <v>257</v>
      </c>
      <c r="B139" s="70" t="s">
        <v>258</v>
      </c>
      <c r="C139" s="74">
        <v>29000</v>
      </c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59">
        <f t="shared" si="22"/>
        <v>29000</v>
      </c>
      <c r="P139" s="67"/>
      <c r="Q139" s="67"/>
    </row>
    <row r="140" spans="1:17" s="80" customFormat="1" ht="30" customHeight="1">
      <c r="A140" s="69" t="s">
        <v>259</v>
      </c>
      <c r="B140" s="70" t="s">
        <v>417</v>
      </c>
      <c r="C140" s="74">
        <v>400000</v>
      </c>
      <c r="D140" s="74"/>
      <c r="E140" s="74">
        <v>400000</v>
      </c>
      <c r="F140" s="74"/>
      <c r="G140" s="74"/>
      <c r="H140" s="74"/>
      <c r="I140" s="74"/>
      <c r="J140" s="74"/>
      <c r="K140" s="74"/>
      <c r="L140" s="74"/>
      <c r="M140" s="74"/>
      <c r="N140" s="74"/>
      <c r="O140" s="59">
        <f t="shared" si="22"/>
        <v>400000</v>
      </c>
      <c r="P140" s="67"/>
      <c r="Q140" s="67"/>
    </row>
    <row r="141" spans="1:17" s="80" customFormat="1" ht="15.75" customHeight="1">
      <c r="A141" s="69" t="s">
        <v>260</v>
      </c>
      <c r="B141" s="70" t="s">
        <v>418</v>
      </c>
      <c r="C141" s="74">
        <v>1000</v>
      </c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59">
        <f t="shared" si="22"/>
        <v>1000</v>
      </c>
      <c r="P141" s="67"/>
      <c r="Q141" s="67"/>
    </row>
    <row r="142" spans="1:17" s="80" customFormat="1" ht="29.25" customHeight="1">
      <c r="A142" s="63" t="s">
        <v>261</v>
      </c>
      <c r="B142" s="70" t="s">
        <v>475</v>
      </c>
      <c r="C142" s="74">
        <f>85000-2000</f>
        <v>83000</v>
      </c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59">
        <f t="shared" si="22"/>
        <v>83000</v>
      </c>
      <c r="P142" s="67"/>
      <c r="Q142" s="67"/>
    </row>
    <row r="143" spans="1:17" s="80" customFormat="1" ht="15.75" customHeight="1">
      <c r="A143" s="63" t="s">
        <v>262</v>
      </c>
      <c r="B143" s="70" t="s">
        <v>419</v>
      </c>
      <c r="C143" s="74">
        <v>15000</v>
      </c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59">
        <f t="shared" si="22"/>
        <v>15000</v>
      </c>
      <c r="P143" s="67"/>
      <c r="Q143" s="67"/>
    </row>
    <row r="144" spans="1:17" s="80" customFormat="1" ht="16.5" customHeight="1">
      <c r="A144" s="63" t="s">
        <v>263</v>
      </c>
      <c r="B144" s="70" t="s">
        <v>570</v>
      </c>
      <c r="C144" s="74">
        <v>30000</v>
      </c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59">
        <f t="shared" si="22"/>
        <v>30000</v>
      </c>
      <c r="P144" s="67"/>
      <c r="Q144" s="67"/>
    </row>
    <row r="145" spans="1:17" s="80" customFormat="1" ht="15.75" customHeight="1">
      <c r="A145" s="69" t="s">
        <v>264</v>
      </c>
      <c r="B145" s="70" t="s">
        <v>265</v>
      </c>
      <c r="C145" s="74">
        <v>6000</v>
      </c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59">
        <f t="shared" si="22"/>
        <v>6000</v>
      </c>
      <c r="P145" s="67"/>
      <c r="Q145" s="67"/>
    </row>
    <row r="146" spans="1:17" s="72" customFormat="1" ht="15.75" customHeight="1">
      <c r="A146" s="69" t="s">
        <v>266</v>
      </c>
      <c r="B146" s="70" t="s">
        <v>267</v>
      </c>
      <c r="C146" s="64">
        <v>10000</v>
      </c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59">
        <f t="shared" si="22"/>
        <v>10000</v>
      </c>
      <c r="P146" s="67"/>
      <c r="Q146" s="67"/>
    </row>
    <row r="147" spans="1:17" s="72" customFormat="1" ht="17.25" customHeight="1">
      <c r="A147" s="69" t="s">
        <v>268</v>
      </c>
      <c r="B147" s="70" t="s">
        <v>571</v>
      </c>
      <c r="C147" s="64">
        <v>20000</v>
      </c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59">
        <f t="shared" si="22"/>
        <v>20000</v>
      </c>
      <c r="P147" s="67"/>
      <c r="Q147" s="67"/>
    </row>
    <row r="148" spans="1:17" s="72" customFormat="1" ht="30.75" customHeight="1">
      <c r="A148" s="66" t="s">
        <v>572</v>
      </c>
      <c r="B148" s="70" t="s">
        <v>420</v>
      </c>
      <c r="C148" s="64">
        <f>20000+10000</f>
        <v>30000</v>
      </c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59">
        <f t="shared" si="22"/>
        <v>30000</v>
      </c>
      <c r="P148" s="67"/>
      <c r="Q148" s="67"/>
    </row>
    <row r="149" spans="1:17" s="80" customFormat="1" ht="28.5" customHeight="1">
      <c r="A149" s="66" t="s">
        <v>270</v>
      </c>
      <c r="B149" s="70" t="s">
        <v>269</v>
      </c>
      <c r="C149" s="74">
        <v>9000</v>
      </c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59">
        <f t="shared" si="22"/>
        <v>9000</v>
      </c>
      <c r="P149" s="67"/>
      <c r="Q149" s="67"/>
    </row>
    <row r="150" spans="1:17" s="80" customFormat="1" ht="29.25" customHeight="1">
      <c r="A150" s="66" t="s">
        <v>271</v>
      </c>
      <c r="B150" s="70" t="s">
        <v>422</v>
      </c>
      <c r="C150" s="74">
        <f>12000-2000</f>
        <v>10000</v>
      </c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59">
        <f t="shared" si="22"/>
        <v>10000</v>
      </c>
      <c r="P150" s="67"/>
      <c r="Q150" s="67"/>
    </row>
    <row r="151" spans="1:17" s="80" customFormat="1" ht="18.75" customHeight="1">
      <c r="A151" s="66" t="s">
        <v>421</v>
      </c>
      <c r="B151" s="70" t="s">
        <v>573</v>
      </c>
      <c r="C151" s="74">
        <v>6000</v>
      </c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59">
        <f t="shared" si="22"/>
        <v>6000</v>
      </c>
      <c r="P151" s="67"/>
      <c r="Q151" s="67"/>
    </row>
    <row r="152" spans="1:17" s="80" customFormat="1" ht="29.25" customHeight="1">
      <c r="A152" s="66" t="s">
        <v>574</v>
      </c>
      <c r="B152" s="70" t="s">
        <v>575</v>
      </c>
      <c r="C152" s="74"/>
      <c r="D152" s="74"/>
      <c r="E152" s="74"/>
      <c r="F152" s="74">
        <v>14559</v>
      </c>
      <c r="G152" s="74"/>
      <c r="H152" s="74">
        <v>14559</v>
      </c>
      <c r="I152" s="74"/>
      <c r="J152" s="74"/>
      <c r="K152" s="74"/>
      <c r="L152" s="74"/>
      <c r="M152" s="74"/>
      <c r="N152" s="74"/>
      <c r="O152" s="59">
        <f t="shared" si="22"/>
        <v>14559</v>
      </c>
      <c r="P152" s="67"/>
      <c r="Q152" s="67"/>
    </row>
    <row r="153" spans="1:17" s="80" customFormat="1" ht="29.25" customHeight="1">
      <c r="A153" s="66" t="s">
        <v>576</v>
      </c>
      <c r="B153" s="70" t="s">
        <v>577</v>
      </c>
      <c r="C153" s="74"/>
      <c r="D153" s="74"/>
      <c r="E153" s="74"/>
      <c r="F153" s="74">
        <v>20000</v>
      </c>
      <c r="G153" s="74"/>
      <c r="H153" s="74"/>
      <c r="I153" s="74"/>
      <c r="J153" s="74"/>
      <c r="K153" s="74"/>
      <c r="L153" s="74"/>
      <c r="M153" s="74"/>
      <c r="N153" s="74"/>
      <c r="O153" s="59">
        <f t="shared" si="22"/>
        <v>20000</v>
      </c>
      <c r="P153" s="67"/>
      <c r="Q153" s="67"/>
    </row>
    <row r="154" spans="1:17" s="68" customFormat="1" ht="27.75" customHeight="1">
      <c r="A154" s="59" t="s">
        <v>272</v>
      </c>
      <c r="B154" s="61" t="s">
        <v>144</v>
      </c>
      <c r="C154" s="59">
        <f aca="true" t="shared" si="25" ref="C154:N154">SUM(C155:C157)</f>
        <v>192500</v>
      </c>
      <c r="D154" s="59">
        <f t="shared" si="25"/>
        <v>0</v>
      </c>
      <c r="E154" s="59">
        <f t="shared" si="25"/>
        <v>16000</v>
      </c>
      <c r="F154" s="59">
        <f t="shared" si="25"/>
        <v>0</v>
      </c>
      <c r="G154" s="59">
        <f t="shared" si="25"/>
        <v>0</v>
      </c>
      <c r="H154" s="59">
        <f t="shared" si="25"/>
        <v>0</v>
      </c>
      <c r="I154" s="59">
        <f t="shared" si="25"/>
        <v>0</v>
      </c>
      <c r="J154" s="59">
        <f t="shared" si="25"/>
        <v>0</v>
      </c>
      <c r="K154" s="59">
        <f t="shared" si="25"/>
        <v>0</v>
      </c>
      <c r="L154" s="59">
        <f t="shared" si="25"/>
        <v>0</v>
      </c>
      <c r="M154" s="59">
        <f t="shared" si="25"/>
        <v>0</v>
      </c>
      <c r="N154" s="59">
        <f t="shared" si="25"/>
        <v>0</v>
      </c>
      <c r="O154" s="59">
        <f t="shared" si="22"/>
        <v>192500</v>
      </c>
      <c r="P154" s="67"/>
      <c r="Q154" s="67"/>
    </row>
    <row r="155" spans="1:17" s="72" customFormat="1" ht="30.75" customHeight="1">
      <c r="A155" s="65" t="s">
        <v>273</v>
      </c>
      <c r="B155" s="139" t="s">
        <v>578</v>
      </c>
      <c r="C155" s="64">
        <f>95000+20000-4000</f>
        <v>111000</v>
      </c>
      <c r="D155" s="71"/>
      <c r="E155" s="64">
        <v>16000</v>
      </c>
      <c r="F155" s="71"/>
      <c r="G155" s="71"/>
      <c r="H155" s="71"/>
      <c r="I155" s="71"/>
      <c r="J155" s="71"/>
      <c r="K155" s="71"/>
      <c r="L155" s="71"/>
      <c r="M155" s="71"/>
      <c r="N155" s="71"/>
      <c r="O155" s="59">
        <f t="shared" si="22"/>
        <v>111000</v>
      </c>
      <c r="P155" s="67"/>
      <c r="Q155" s="67"/>
    </row>
    <row r="156" spans="1:17" s="72" customFormat="1" ht="17.25" customHeight="1">
      <c r="A156" s="65" t="s">
        <v>579</v>
      </c>
      <c r="B156" s="139" t="s">
        <v>580</v>
      </c>
      <c r="C156" s="64">
        <v>5000</v>
      </c>
      <c r="D156" s="71"/>
      <c r="E156" s="64"/>
      <c r="F156" s="71"/>
      <c r="G156" s="71"/>
      <c r="H156" s="71"/>
      <c r="I156" s="71"/>
      <c r="J156" s="71"/>
      <c r="K156" s="71"/>
      <c r="L156" s="71"/>
      <c r="M156" s="71"/>
      <c r="N156" s="71"/>
      <c r="O156" s="59"/>
      <c r="P156" s="67"/>
      <c r="Q156" s="67"/>
    </row>
    <row r="157" spans="1:17" s="80" customFormat="1" ht="59.25" customHeight="1">
      <c r="A157" s="66" t="s">
        <v>581</v>
      </c>
      <c r="B157" s="70" t="s">
        <v>622</v>
      </c>
      <c r="C157" s="64">
        <v>76500</v>
      </c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59">
        <f>C157+F157+I157+L157</f>
        <v>76500</v>
      </c>
      <c r="P157" s="67"/>
      <c r="Q157" s="67"/>
    </row>
    <row r="158" spans="1:17" s="54" customFormat="1" ht="17.25" customHeight="1">
      <c r="A158" s="73"/>
      <c r="B158" s="180" t="s">
        <v>274</v>
      </c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2"/>
      <c r="P158" s="29"/>
      <c r="Q158" s="29"/>
    </row>
    <row r="159" spans="1:17" s="72" customFormat="1" ht="20.25" customHeight="1">
      <c r="A159" s="64"/>
      <c r="B159" s="61" t="s">
        <v>107</v>
      </c>
      <c r="C159" s="62">
        <f aca="true" t="shared" si="26" ref="C159:N159">SUM(C160:C161,C164,C167:C169,C172:C172,C175,C178,C181,C184:C184,C187,C190,C193:C195,C196,C207)</f>
        <v>7173082</v>
      </c>
      <c r="D159" s="62">
        <f t="shared" si="26"/>
        <v>5253675</v>
      </c>
      <c r="E159" s="62">
        <f t="shared" si="26"/>
        <v>201682</v>
      </c>
      <c r="F159" s="62">
        <f t="shared" si="26"/>
        <v>238355</v>
      </c>
      <c r="G159" s="62">
        <f t="shared" si="26"/>
        <v>50275</v>
      </c>
      <c r="H159" s="62">
        <f t="shared" si="26"/>
        <v>7160</v>
      </c>
      <c r="I159" s="62">
        <f t="shared" si="26"/>
        <v>8420400</v>
      </c>
      <c r="J159" s="62">
        <f t="shared" si="26"/>
        <v>8093032</v>
      </c>
      <c r="K159" s="62">
        <f t="shared" si="26"/>
        <v>37539</v>
      </c>
      <c r="L159" s="62">
        <f t="shared" si="26"/>
        <v>357936</v>
      </c>
      <c r="M159" s="62">
        <f t="shared" si="26"/>
        <v>23000</v>
      </c>
      <c r="N159" s="62">
        <f t="shared" si="26"/>
        <v>13725</v>
      </c>
      <c r="O159" s="59">
        <f>C159+F159+I159+L159</f>
        <v>16189773</v>
      </c>
      <c r="P159" s="67"/>
      <c r="Q159" s="67">
        <f>O159+P159</f>
        <v>16189773</v>
      </c>
    </row>
    <row r="160" spans="1:17" s="84" customFormat="1" ht="19.5" customHeight="1">
      <c r="A160" s="62" t="s">
        <v>275</v>
      </c>
      <c r="B160" s="164" t="s">
        <v>276</v>
      </c>
      <c r="C160" s="198">
        <f>416890-5000</f>
        <v>411890</v>
      </c>
      <c r="D160" s="62">
        <v>302900</v>
      </c>
      <c r="E160" s="62"/>
      <c r="F160" s="62"/>
      <c r="G160" s="62"/>
      <c r="H160" s="62"/>
      <c r="I160" s="62">
        <v>1195788</v>
      </c>
      <c r="J160" s="62">
        <f>1137126+4700</f>
        <v>1141826</v>
      </c>
      <c r="K160" s="62">
        <v>4489</v>
      </c>
      <c r="L160" s="62">
        <f>4360+290</f>
        <v>4650</v>
      </c>
      <c r="M160" s="62"/>
      <c r="N160" s="62"/>
      <c r="O160" s="59">
        <f aca="true" t="shared" si="27" ref="O160:O210">C160+F160+I160+L160</f>
        <v>1612328</v>
      </c>
      <c r="P160" s="83"/>
      <c r="Q160" s="83"/>
    </row>
    <row r="161" spans="1:17" s="84" customFormat="1" ht="20.25" customHeight="1">
      <c r="A161" s="62" t="s">
        <v>277</v>
      </c>
      <c r="B161" s="148" t="s">
        <v>278</v>
      </c>
      <c r="C161" s="198">
        <f>C162+C163</f>
        <v>380350</v>
      </c>
      <c r="D161" s="62">
        <f aca="true" t="shared" si="28" ref="D161:L161">D162+D163</f>
        <v>280850</v>
      </c>
      <c r="E161" s="62">
        <f t="shared" si="28"/>
        <v>0</v>
      </c>
      <c r="F161" s="62">
        <f t="shared" si="28"/>
        <v>6443</v>
      </c>
      <c r="G161" s="62">
        <f t="shared" si="28"/>
        <v>0</v>
      </c>
      <c r="H161" s="62">
        <f t="shared" si="28"/>
        <v>0</v>
      </c>
      <c r="I161" s="62">
        <f t="shared" si="28"/>
        <v>655166</v>
      </c>
      <c r="J161" s="62">
        <f>J162+J163</f>
        <v>630277</v>
      </c>
      <c r="K161" s="62">
        <f t="shared" si="28"/>
        <v>2500</v>
      </c>
      <c r="L161" s="62">
        <f t="shared" si="28"/>
        <v>12040</v>
      </c>
      <c r="M161" s="62">
        <f>M162+M163</f>
        <v>0</v>
      </c>
      <c r="N161" s="62">
        <f>N162+N163</f>
        <v>0</v>
      </c>
      <c r="O161" s="59">
        <f>C161+F161+I161+L161</f>
        <v>1053999</v>
      </c>
      <c r="P161" s="83"/>
      <c r="Q161" s="83"/>
    </row>
    <row r="162" spans="1:17" s="84" customFormat="1" ht="15" customHeight="1">
      <c r="A162" s="81" t="s">
        <v>281</v>
      </c>
      <c r="B162" s="139" t="s">
        <v>282</v>
      </c>
      <c r="C162" s="197">
        <v>59600</v>
      </c>
      <c r="D162" s="74">
        <v>57700</v>
      </c>
      <c r="E162" s="74"/>
      <c r="F162" s="74">
        <v>6443</v>
      </c>
      <c r="G162" s="74"/>
      <c r="H162" s="74"/>
      <c r="I162" s="74">
        <v>36465</v>
      </c>
      <c r="J162" s="74">
        <v>34430</v>
      </c>
      <c r="K162" s="74"/>
      <c r="L162" s="74">
        <v>12040</v>
      </c>
      <c r="M162" s="74"/>
      <c r="N162" s="74"/>
      <c r="O162" s="59">
        <f>C162+F162+I162+L162</f>
        <v>114548</v>
      </c>
      <c r="P162" s="83"/>
      <c r="Q162" s="83"/>
    </row>
    <row r="163" spans="1:17" s="84" customFormat="1" ht="15" customHeight="1">
      <c r="A163" s="81" t="s">
        <v>283</v>
      </c>
      <c r="B163" s="139" t="s">
        <v>284</v>
      </c>
      <c r="C163" s="74">
        <f>375350-59600+5000</f>
        <v>320750</v>
      </c>
      <c r="D163" s="74">
        <f>280850-57700</f>
        <v>223150</v>
      </c>
      <c r="E163" s="74"/>
      <c r="F163" s="74"/>
      <c r="G163" s="74"/>
      <c r="H163" s="74"/>
      <c r="I163" s="74">
        <v>618701</v>
      </c>
      <c r="J163" s="74">
        <f>595547+300</f>
        <v>595847</v>
      </c>
      <c r="K163" s="74">
        <v>2500</v>
      </c>
      <c r="L163" s="74"/>
      <c r="M163" s="74"/>
      <c r="N163" s="74"/>
      <c r="O163" s="59">
        <f>C163+F163+I163+L163</f>
        <v>939451</v>
      </c>
      <c r="P163" s="83"/>
      <c r="Q163" s="83"/>
    </row>
    <row r="164" spans="1:17" s="84" customFormat="1" ht="29.25" customHeight="1">
      <c r="A164" s="62" t="s">
        <v>279</v>
      </c>
      <c r="B164" s="148" t="s">
        <v>280</v>
      </c>
      <c r="C164" s="62">
        <f>C165+C166</f>
        <v>530010</v>
      </c>
      <c r="D164" s="62">
        <f aca="true" t="shared" si="29" ref="D164:L164">D165+D166</f>
        <v>388100</v>
      </c>
      <c r="E164" s="62">
        <f t="shared" si="29"/>
        <v>0</v>
      </c>
      <c r="F164" s="62">
        <f t="shared" si="29"/>
        <v>4785</v>
      </c>
      <c r="G164" s="62">
        <f t="shared" si="29"/>
        <v>0</v>
      </c>
      <c r="H164" s="62">
        <f t="shared" si="29"/>
        <v>1360</v>
      </c>
      <c r="I164" s="62">
        <f t="shared" si="29"/>
        <v>671681</v>
      </c>
      <c r="J164" s="62">
        <f>J165+J166</f>
        <v>647005</v>
      </c>
      <c r="K164" s="62">
        <f t="shared" si="29"/>
        <v>0</v>
      </c>
      <c r="L164" s="62">
        <f t="shared" si="29"/>
        <v>12860</v>
      </c>
      <c r="M164" s="62">
        <f>M165+M166</f>
        <v>0</v>
      </c>
      <c r="N164" s="62">
        <f>N165+N166</f>
        <v>0</v>
      </c>
      <c r="O164" s="59">
        <f t="shared" si="27"/>
        <v>1219336</v>
      </c>
      <c r="P164" s="83"/>
      <c r="Q164" s="83"/>
    </row>
    <row r="165" spans="1:17" s="84" customFormat="1" ht="15" customHeight="1">
      <c r="A165" s="81" t="s">
        <v>281</v>
      </c>
      <c r="B165" s="139" t="s">
        <v>282</v>
      </c>
      <c r="C165" s="74">
        <v>118340</v>
      </c>
      <c r="D165" s="74">
        <v>106000</v>
      </c>
      <c r="E165" s="74"/>
      <c r="F165" s="74">
        <v>4785</v>
      </c>
      <c r="G165" s="74"/>
      <c r="H165" s="74">
        <v>1360</v>
      </c>
      <c r="I165" s="74">
        <v>25890</v>
      </c>
      <c r="J165" s="74">
        <v>24750</v>
      </c>
      <c r="K165" s="74"/>
      <c r="L165" s="74">
        <v>12860</v>
      </c>
      <c r="M165" s="74"/>
      <c r="N165" s="74"/>
      <c r="O165" s="59">
        <f t="shared" si="27"/>
        <v>161875</v>
      </c>
      <c r="P165" s="83"/>
      <c r="Q165" s="83"/>
    </row>
    <row r="166" spans="1:17" s="84" customFormat="1" ht="15" customHeight="1">
      <c r="A166" s="81" t="s">
        <v>283</v>
      </c>
      <c r="B166" s="139" t="s">
        <v>284</v>
      </c>
      <c r="C166" s="74">
        <f>530010-118340</f>
        <v>411670</v>
      </c>
      <c r="D166" s="74">
        <f>388100-106000</f>
        <v>282100</v>
      </c>
      <c r="E166" s="74"/>
      <c r="F166" s="74"/>
      <c r="G166" s="74"/>
      <c r="H166" s="74"/>
      <c r="I166" s="74">
        <v>645791</v>
      </c>
      <c r="J166" s="74">
        <f>621770+485</f>
        <v>622255</v>
      </c>
      <c r="K166" s="74"/>
      <c r="L166" s="74"/>
      <c r="M166" s="74"/>
      <c r="N166" s="74"/>
      <c r="O166" s="59">
        <f t="shared" si="27"/>
        <v>1057461</v>
      </c>
      <c r="P166" s="83"/>
      <c r="Q166" s="83"/>
    </row>
    <row r="167" spans="1:17" s="84" customFormat="1" ht="18.75" customHeight="1">
      <c r="A167" s="62" t="s">
        <v>285</v>
      </c>
      <c r="B167" s="148" t="s">
        <v>286</v>
      </c>
      <c r="C167" s="62">
        <v>399170</v>
      </c>
      <c r="D167" s="62">
        <v>308200</v>
      </c>
      <c r="E167" s="62"/>
      <c r="F167" s="62"/>
      <c r="G167" s="62"/>
      <c r="H167" s="62"/>
      <c r="I167" s="62">
        <v>1205091</v>
      </c>
      <c r="J167" s="62">
        <f>1141091+2000</f>
        <v>1143091</v>
      </c>
      <c r="K167" s="62">
        <v>17500</v>
      </c>
      <c r="L167" s="62">
        <v>1925</v>
      </c>
      <c r="M167" s="62"/>
      <c r="N167" s="62"/>
      <c r="O167" s="59">
        <f>C167+F167+I167+L167</f>
        <v>1606186</v>
      </c>
      <c r="P167" s="83"/>
      <c r="Q167" s="83"/>
    </row>
    <row r="168" spans="1:17" s="84" customFormat="1" ht="18.75" customHeight="1">
      <c r="A168" s="62" t="s">
        <v>287</v>
      </c>
      <c r="B168" s="148" t="s">
        <v>288</v>
      </c>
      <c r="C168" s="62">
        <v>393100</v>
      </c>
      <c r="D168" s="62">
        <v>310200</v>
      </c>
      <c r="E168" s="62"/>
      <c r="F168" s="62"/>
      <c r="G168" s="62"/>
      <c r="H168" s="62"/>
      <c r="I168" s="62">
        <v>751430</v>
      </c>
      <c r="J168" s="62">
        <f>717730+1000</f>
        <v>718730</v>
      </c>
      <c r="K168" s="62">
        <v>6000</v>
      </c>
      <c r="L168" s="62">
        <v>2000</v>
      </c>
      <c r="M168" s="62"/>
      <c r="N168" s="62"/>
      <c r="O168" s="59">
        <f>C168+F168+I168+L168</f>
        <v>1146530</v>
      </c>
      <c r="P168" s="83"/>
      <c r="Q168" s="83"/>
    </row>
    <row r="169" spans="1:17" s="84" customFormat="1" ht="30.75" customHeight="1">
      <c r="A169" s="62" t="s">
        <v>289</v>
      </c>
      <c r="B169" s="148" t="s">
        <v>291</v>
      </c>
      <c r="C169" s="62">
        <f>C170+C171</f>
        <v>317450</v>
      </c>
      <c r="D169" s="62">
        <f aca="true" t="shared" si="30" ref="D169:N169">D170+D171</f>
        <v>258500</v>
      </c>
      <c r="E169" s="62">
        <f t="shared" si="30"/>
        <v>0</v>
      </c>
      <c r="F169" s="62">
        <f t="shared" si="30"/>
        <v>0</v>
      </c>
      <c r="G169" s="62">
        <f t="shared" si="30"/>
        <v>0</v>
      </c>
      <c r="H169" s="62">
        <f t="shared" si="30"/>
        <v>0</v>
      </c>
      <c r="I169" s="62">
        <f t="shared" si="30"/>
        <v>392944</v>
      </c>
      <c r="J169" s="62">
        <f>J170+J171</f>
        <v>380419</v>
      </c>
      <c r="K169" s="62">
        <f t="shared" si="30"/>
        <v>2250</v>
      </c>
      <c r="L169" s="62">
        <f t="shared" si="30"/>
        <v>12600</v>
      </c>
      <c r="M169" s="62">
        <f t="shared" si="30"/>
        <v>0</v>
      </c>
      <c r="N169" s="62">
        <f t="shared" si="30"/>
        <v>0</v>
      </c>
      <c r="O169" s="59">
        <f t="shared" si="27"/>
        <v>722994</v>
      </c>
      <c r="P169" s="83"/>
      <c r="Q169" s="83"/>
    </row>
    <row r="170" spans="1:17" s="84" customFormat="1" ht="15" customHeight="1">
      <c r="A170" s="86" t="s">
        <v>423</v>
      </c>
      <c r="B170" s="139" t="s">
        <v>282</v>
      </c>
      <c r="C170" s="74">
        <v>69275</v>
      </c>
      <c r="D170" s="74">
        <v>67300</v>
      </c>
      <c r="E170" s="74"/>
      <c r="F170" s="74"/>
      <c r="G170" s="74"/>
      <c r="H170" s="74"/>
      <c r="I170" s="74">
        <v>34155</v>
      </c>
      <c r="J170" s="74">
        <f>33000+50</f>
        <v>33050</v>
      </c>
      <c r="K170" s="74"/>
      <c r="L170" s="74">
        <v>12000</v>
      </c>
      <c r="M170" s="74"/>
      <c r="N170" s="74"/>
      <c r="O170" s="59">
        <f t="shared" si="27"/>
        <v>115430</v>
      </c>
      <c r="P170" s="83"/>
      <c r="Q170" s="83"/>
    </row>
    <row r="171" spans="1:17" s="84" customFormat="1" ht="15" customHeight="1">
      <c r="A171" s="81" t="s">
        <v>424</v>
      </c>
      <c r="B171" s="139" t="s">
        <v>284</v>
      </c>
      <c r="C171" s="74">
        <f>317450-69275</f>
        <v>248175</v>
      </c>
      <c r="D171" s="74">
        <f>258500-67300</f>
        <v>191200</v>
      </c>
      <c r="E171" s="74"/>
      <c r="F171" s="74"/>
      <c r="G171" s="74"/>
      <c r="H171" s="74"/>
      <c r="I171" s="74">
        <v>358789</v>
      </c>
      <c r="J171" s="74">
        <f>347219+150</f>
        <v>347369</v>
      </c>
      <c r="K171" s="74">
        <v>2250</v>
      </c>
      <c r="L171" s="74">
        <f>500+100</f>
        <v>600</v>
      </c>
      <c r="M171" s="74"/>
      <c r="N171" s="74"/>
      <c r="O171" s="59">
        <f t="shared" si="27"/>
        <v>607564</v>
      </c>
      <c r="P171" s="83"/>
      <c r="Q171" s="83"/>
    </row>
    <row r="172" spans="1:17" s="84" customFormat="1" ht="29.25" customHeight="1">
      <c r="A172" s="62" t="s">
        <v>290</v>
      </c>
      <c r="B172" s="148" t="s">
        <v>295</v>
      </c>
      <c r="C172" s="62">
        <f>C173+C174</f>
        <v>290040</v>
      </c>
      <c r="D172" s="62">
        <f>D173+D174</f>
        <v>249900</v>
      </c>
      <c r="E172" s="62">
        <f aca="true" t="shared" si="31" ref="E172:N172">E173+E174</f>
        <v>0</v>
      </c>
      <c r="F172" s="62">
        <f t="shared" si="31"/>
        <v>3221</v>
      </c>
      <c r="G172" s="62">
        <f t="shared" si="31"/>
        <v>0</v>
      </c>
      <c r="H172" s="62">
        <f t="shared" si="31"/>
        <v>0</v>
      </c>
      <c r="I172" s="62">
        <f t="shared" si="31"/>
        <v>303405</v>
      </c>
      <c r="J172" s="62">
        <f>J173+J174</f>
        <v>294292</v>
      </c>
      <c r="K172" s="62">
        <f t="shared" si="31"/>
        <v>0</v>
      </c>
      <c r="L172" s="62">
        <f t="shared" si="31"/>
        <v>5951</v>
      </c>
      <c r="M172" s="62">
        <f t="shared" si="31"/>
        <v>0</v>
      </c>
      <c r="N172" s="62">
        <f t="shared" si="31"/>
        <v>0</v>
      </c>
      <c r="O172" s="59">
        <f>C172+F172+I172+L172</f>
        <v>602617</v>
      </c>
      <c r="P172" s="83"/>
      <c r="Q172" s="83"/>
    </row>
    <row r="173" spans="1:17" s="84" customFormat="1" ht="15" customHeight="1">
      <c r="A173" s="87" t="s">
        <v>292</v>
      </c>
      <c r="B173" s="139" t="s">
        <v>282</v>
      </c>
      <c r="C173" s="74">
        <v>52335</v>
      </c>
      <c r="D173" s="74">
        <v>50800</v>
      </c>
      <c r="E173" s="74"/>
      <c r="F173" s="74">
        <v>3221</v>
      </c>
      <c r="G173" s="74"/>
      <c r="H173" s="74"/>
      <c r="I173" s="74">
        <v>17409</v>
      </c>
      <c r="J173" s="74">
        <f>16300+200</f>
        <v>16500</v>
      </c>
      <c r="K173" s="74"/>
      <c r="L173" s="74">
        <v>5951</v>
      </c>
      <c r="M173" s="74"/>
      <c r="N173" s="74"/>
      <c r="O173" s="59">
        <f>C173+F173+I173+L173</f>
        <v>78916</v>
      </c>
      <c r="P173" s="83"/>
      <c r="Q173" s="83"/>
    </row>
    <row r="174" spans="1:17" s="84" customFormat="1" ht="15" customHeight="1">
      <c r="A174" s="81" t="s">
        <v>293</v>
      </c>
      <c r="B174" s="139" t="s">
        <v>284</v>
      </c>
      <c r="C174" s="74">
        <f>290040-52335</f>
        <v>237705</v>
      </c>
      <c r="D174" s="74">
        <f>249900-50800</f>
        <v>199100</v>
      </c>
      <c r="E174" s="74"/>
      <c r="F174" s="74"/>
      <c r="G174" s="74"/>
      <c r="H174" s="74"/>
      <c r="I174" s="74">
        <v>285996</v>
      </c>
      <c r="J174" s="74">
        <f>277392+400</f>
        <v>277792</v>
      </c>
      <c r="K174" s="74"/>
      <c r="L174" s="74"/>
      <c r="M174" s="74"/>
      <c r="N174" s="74"/>
      <c r="O174" s="59">
        <f>C174+F174+I174+L174</f>
        <v>523701</v>
      </c>
      <c r="P174" s="83"/>
      <c r="Q174" s="83"/>
    </row>
    <row r="175" spans="1:17" s="84" customFormat="1" ht="30.75" customHeight="1">
      <c r="A175" s="62" t="s">
        <v>294</v>
      </c>
      <c r="B175" s="148" t="s">
        <v>299</v>
      </c>
      <c r="C175" s="62">
        <f>C176+C177</f>
        <v>346320</v>
      </c>
      <c r="D175" s="62">
        <f>D176+D177</f>
        <v>281750</v>
      </c>
      <c r="E175" s="62">
        <f aca="true" t="shared" si="32" ref="E175:N175">E176+E177</f>
        <v>0</v>
      </c>
      <c r="F175" s="62">
        <f t="shared" si="32"/>
        <v>18497</v>
      </c>
      <c r="G175" s="62">
        <f t="shared" si="32"/>
        <v>0</v>
      </c>
      <c r="H175" s="62">
        <f t="shared" si="32"/>
        <v>3000</v>
      </c>
      <c r="I175" s="62">
        <f t="shared" si="32"/>
        <v>609618</v>
      </c>
      <c r="J175" s="62">
        <f>J176+J177</f>
        <v>587155</v>
      </c>
      <c r="K175" s="62">
        <f t="shared" si="32"/>
        <v>2000</v>
      </c>
      <c r="L175" s="62">
        <f t="shared" si="32"/>
        <v>14985</v>
      </c>
      <c r="M175" s="62">
        <f t="shared" si="32"/>
        <v>0</v>
      </c>
      <c r="N175" s="62">
        <f t="shared" si="32"/>
        <v>0</v>
      </c>
      <c r="O175" s="59">
        <f t="shared" si="27"/>
        <v>989420</v>
      </c>
      <c r="P175" s="83"/>
      <c r="Q175" s="83"/>
    </row>
    <row r="176" spans="1:17" s="84" customFormat="1" ht="15" customHeight="1">
      <c r="A176" s="87" t="s">
        <v>296</v>
      </c>
      <c r="B176" s="139" t="s">
        <v>282</v>
      </c>
      <c r="C176" s="197">
        <f>116090-5000</f>
        <v>111090</v>
      </c>
      <c r="D176" s="74">
        <v>98900</v>
      </c>
      <c r="E176" s="74"/>
      <c r="F176" s="74">
        <v>18497</v>
      </c>
      <c r="G176" s="74"/>
      <c r="H176" s="74">
        <v>3000</v>
      </c>
      <c r="I176" s="74">
        <f>87059+14200</f>
        <v>101259</v>
      </c>
      <c r="J176" s="74">
        <f>83850+150+14000</f>
        <v>98000</v>
      </c>
      <c r="K176" s="74"/>
      <c r="L176" s="74">
        <v>14985</v>
      </c>
      <c r="M176" s="74"/>
      <c r="N176" s="74"/>
      <c r="O176" s="59">
        <f t="shared" si="27"/>
        <v>245831</v>
      </c>
      <c r="P176" s="83"/>
      <c r="Q176" s="83"/>
    </row>
    <row r="177" spans="1:17" s="84" customFormat="1" ht="15" customHeight="1">
      <c r="A177" s="81" t="s">
        <v>297</v>
      </c>
      <c r="B177" s="139" t="s">
        <v>284</v>
      </c>
      <c r="C177" s="197">
        <f>346320-116090+5000</f>
        <v>235230</v>
      </c>
      <c r="D177" s="74">
        <f>281750-98900</f>
        <v>182850</v>
      </c>
      <c r="E177" s="74"/>
      <c r="F177" s="74"/>
      <c r="G177" s="74"/>
      <c r="H177" s="74"/>
      <c r="I177" s="74">
        <f>522559-14200</f>
        <v>508359</v>
      </c>
      <c r="J177" s="74">
        <f>502905+250-14000</f>
        <v>489155</v>
      </c>
      <c r="K177" s="74">
        <v>2000</v>
      </c>
      <c r="L177" s="74"/>
      <c r="M177" s="74"/>
      <c r="N177" s="74"/>
      <c r="O177" s="59">
        <f t="shared" si="27"/>
        <v>743589</v>
      </c>
      <c r="P177" s="83"/>
      <c r="Q177" s="83"/>
    </row>
    <row r="178" spans="1:17" s="84" customFormat="1" ht="31.5" customHeight="1">
      <c r="A178" s="62" t="s">
        <v>298</v>
      </c>
      <c r="B178" s="148" t="s">
        <v>303</v>
      </c>
      <c r="C178" s="62">
        <f>C179+C180</f>
        <v>332390</v>
      </c>
      <c r="D178" s="62">
        <f aca="true" t="shared" si="33" ref="D178:L178">D179+D180</f>
        <v>284100</v>
      </c>
      <c r="E178" s="62">
        <f t="shared" si="33"/>
        <v>0</v>
      </c>
      <c r="F178" s="62">
        <f t="shared" si="33"/>
        <v>0</v>
      </c>
      <c r="G178" s="62">
        <f t="shared" si="33"/>
        <v>0</v>
      </c>
      <c r="H178" s="62">
        <f t="shared" si="33"/>
        <v>0</v>
      </c>
      <c r="I178" s="62">
        <f t="shared" si="33"/>
        <v>443044</v>
      </c>
      <c r="J178" s="62">
        <f>J179+J180</f>
        <v>427810</v>
      </c>
      <c r="K178" s="62">
        <f t="shared" si="33"/>
        <v>0</v>
      </c>
      <c r="L178" s="62">
        <f t="shared" si="33"/>
        <v>16690</v>
      </c>
      <c r="M178" s="62">
        <f>M179+M180</f>
        <v>0</v>
      </c>
      <c r="N178" s="62">
        <f>N179+N180</f>
        <v>0</v>
      </c>
      <c r="O178" s="59">
        <f t="shared" si="27"/>
        <v>792124</v>
      </c>
      <c r="P178" s="83"/>
      <c r="Q178" s="83"/>
    </row>
    <row r="179" spans="1:17" s="84" customFormat="1" ht="15" customHeight="1">
      <c r="A179" s="87" t="s">
        <v>300</v>
      </c>
      <c r="B179" s="139" t="s">
        <v>282</v>
      </c>
      <c r="C179" s="74">
        <v>120710</v>
      </c>
      <c r="D179" s="74">
        <v>118000</v>
      </c>
      <c r="E179" s="74"/>
      <c r="F179" s="74"/>
      <c r="G179" s="74"/>
      <c r="H179" s="74"/>
      <c r="I179" s="74">
        <v>33480</v>
      </c>
      <c r="J179" s="74">
        <v>33000</v>
      </c>
      <c r="K179" s="74"/>
      <c r="L179" s="74">
        <v>16690</v>
      </c>
      <c r="M179" s="74"/>
      <c r="N179" s="74"/>
      <c r="O179" s="59">
        <f t="shared" si="27"/>
        <v>170880</v>
      </c>
      <c r="P179" s="83"/>
      <c r="Q179" s="83"/>
    </row>
    <row r="180" spans="1:17" s="84" customFormat="1" ht="15" customHeight="1">
      <c r="A180" s="81" t="s">
        <v>301</v>
      </c>
      <c r="B180" s="139" t="s">
        <v>284</v>
      </c>
      <c r="C180" s="74">
        <f>332390-120710</f>
        <v>211680</v>
      </c>
      <c r="D180" s="74">
        <f>284100-118000</f>
        <v>166100</v>
      </c>
      <c r="E180" s="74"/>
      <c r="F180" s="74"/>
      <c r="G180" s="74"/>
      <c r="H180" s="74"/>
      <c r="I180" s="74">
        <v>409564</v>
      </c>
      <c r="J180" s="74">
        <f>394460+350</f>
        <v>394810</v>
      </c>
      <c r="K180" s="74"/>
      <c r="L180" s="74"/>
      <c r="M180" s="74"/>
      <c r="N180" s="74"/>
      <c r="O180" s="59">
        <f t="shared" si="27"/>
        <v>621244</v>
      </c>
      <c r="P180" s="83"/>
      <c r="Q180" s="83"/>
    </row>
    <row r="181" spans="1:17" s="84" customFormat="1" ht="30" customHeight="1">
      <c r="A181" s="62" t="s">
        <v>302</v>
      </c>
      <c r="B181" s="148" t="s">
        <v>307</v>
      </c>
      <c r="C181" s="62">
        <f>C182+C183</f>
        <v>312780</v>
      </c>
      <c r="D181" s="62">
        <f aca="true" t="shared" si="34" ref="D181:L181">D182+D183</f>
        <v>237430</v>
      </c>
      <c r="E181" s="62">
        <f t="shared" si="34"/>
        <v>0</v>
      </c>
      <c r="F181" s="62">
        <f t="shared" si="34"/>
        <v>0</v>
      </c>
      <c r="G181" s="62">
        <f t="shared" si="34"/>
        <v>0</v>
      </c>
      <c r="H181" s="62">
        <f t="shared" si="34"/>
        <v>0</v>
      </c>
      <c r="I181" s="62">
        <f t="shared" si="34"/>
        <v>460751</v>
      </c>
      <c r="J181" s="62">
        <f>J182+J183</f>
        <v>445822</v>
      </c>
      <c r="K181" s="62">
        <f t="shared" si="34"/>
        <v>0</v>
      </c>
      <c r="L181" s="62">
        <f t="shared" si="34"/>
        <v>7217</v>
      </c>
      <c r="M181" s="62">
        <f>M182+M183</f>
        <v>0</v>
      </c>
      <c r="N181" s="62">
        <f>N182+N183</f>
        <v>0</v>
      </c>
      <c r="O181" s="59">
        <f t="shared" si="27"/>
        <v>780748</v>
      </c>
      <c r="P181" s="83"/>
      <c r="Q181" s="83"/>
    </row>
    <row r="182" spans="1:17" s="84" customFormat="1" ht="15" customHeight="1">
      <c r="A182" s="81" t="s">
        <v>304</v>
      </c>
      <c r="B182" s="139" t="s">
        <v>282</v>
      </c>
      <c r="C182" s="74">
        <v>111330</v>
      </c>
      <c r="D182" s="74">
        <v>89100</v>
      </c>
      <c r="E182" s="74"/>
      <c r="F182" s="74"/>
      <c r="G182" s="74"/>
      <c r="H182" s="74"/>
      <c r="I182" s="74">
        <v>26286</v>
      </c>
      <c r="J182" s="74">
        <f>24800</f>
        <v>24800</v>
      </c>
      <c r="K182" s="74"/>
      <c r="L182" s="74">
        <v>7217</v>
      </c>
      <c r="M182" s="74"/>
      <c r="N182" s="74"/>
      <c r="O182" s="59">
        <f t="shared" si="27"/>
        <v>144833</v>
      </c>
      <c r="P182" s="83"/>
      <c r="Q182" s="83"/>
    </row>
    <row r="183" spans="1:17" s="84" customFormat="1" ht="15" customHeight="1">
      <c r="A183" s="81" t="s">
        <v>305</v>
      </c>
      <c r="B183" s="139" t="s">
        <v>284</v>
      </c>
      <c r="C183" s="74">
        <f>312780-111330</f>
        <v>201450</v>
      </c>
      <c r="D183" s="74">
        <f>237430-89100</f>
        <v>148330</v>
      </c>
      <c r="E183" s="74"/>
      <c r="F183" s="74"/>
      <c r="G183" s="74"/>
      <c r="H183" s="74"/>
      <c r="I183" s="74">
        <v>434465</v>
      </c>
      <c r="J183" s="74">
        <f>420522+500</f>
        <v>421022</v>
      </c>
      <c r="K183" s="74"/>
      <c r="L183" s="74"/>
      <c r="M183" s="74"/>
      <c r="N183" s="74"/>
      <c r="O183" s="59">
        <f t="shared" si="27"/>
        <v>635915</v>
      </c>
      <c r="P183" s="83"/>
      <c r="Q183" s="83"/>
    </row>
    <row r="184" spans="1:17" s="84" customFormat="1" ht="21" customHeight="1">
      <c r="A184" s="62" t="s">
        <v>306</v>
      </c>
      <c r="B184" s="165" t="s">
        <v>311</v>
      </c>
      <c r="C184" s="62">
        <f>C185+C186</f>
        <v>321710</v>
      </c>
      <c r="D184" s="62">
        <f aca="true" t="shared" si="35" ref="D184:N184">D185+D186</f>
        <v>256900</v>
      </c>
      <c r="E184" s="62">
        <f t="shared" si="35"/>
        <v>0</v>
      </c>
      <c r="F184" s="62">
        <f t="shared" si="35"/>
        <v>0</v>
      </c>
      <c r="G184" s="62">
        <f t="shared" si="35"/>
        <v>0</v>
      </c>
      <c r="H184" s="62">
        <f t="shared" si="35"/>
        <v>0</v>
      </c>
      <c r="I184" s="62">
        <f t="shared" si="35"/>
        <v>266632</v>
      </c>
      <c r="J184" s="62">
        <f>J185+J186</f>
        <v>257984</v>
      </c>
      <c r="K184" s="62">
        <f t="shared" si="35"/>
        <v>0</v>
      </c>
      <c r="L184" s="62">
        <f t="shared" si="35"/>
        <v>10217</v>
      </c>
      <c r="M184" s="62">
        <f t="shared" si="35"/>
        <v>0</v>
      </c>
      <c r="N184" s="62">
        <f t="shared" si="35"/>
        <v>0</v>
      </c>
      <c r="O184" s="59">
        <f t="shared" si="27"/>
        <v>598559</v>
      </c>
      <c r="P184" s="83"/>
      <c r="Q184" s="83"/>
    </row>
    <row r="185" spans="1:17" s="84" customFormat="1" ht="15" customHeight="1">
      <c r="A185" s="81" t="s">
        <v>308</v>
      </c>
      <c r="B185" s="139" t="s">
        <v>282</v>
      </c>
      <c r="C185" s="74">
        <v>135940</v>
      </c>
      <c r="D185" s="74">
        <v>114900</v>
      </c>
      <c r="E185" s="74"/>
      <c r="F185" s="74"/>
      <c r="G185" s="74"/>
      <c r="H185" s="74"/>
      <c r="I185" s="74">
        <v>34947</v>
      </c>
      <c r="J185" s="74">
        <v>33580</v>
      </c>
      <c r="K185" s="74"/>
      <c r="L185" s="74">
        <v>10217</v>
      </c>
      <c r="M185" s="74"/>
      <c r="N185" s="74"/>
      <c r="O185" s="59">
        <f t="shared" si="27"/>
        <v>181104</v>
      </c>
      <c r="P185" s="83"/>
      <c r="Q185" s="83"/>
    </row>
    <row r="186" spans="1:17" s="84" customFormat="1" ht="15" customHeight="1">
      <c r="A186" s="81" t="s">
        <v>309</v>
      </c>
      <c r="B186" s="139" t="s">
        <v>284</v>
      </c>
      <c r="C186" s="74">
        <f>321710-135940</f>
        <v>185770</v>
      </c>
      <c r="D186" s="74">
        <f>256900-114900</f>
        <v>142000</v>
      </c>
      <c r="E186" s="74"/>
      <c r="F186" s="74"/>
      <c r="G186" s="74"/>
      <c r="H186" s="74"/>
      <c r="I186" s="74">
        <v>231685</v>
      </c>
      <c r="J186" s="74">
        <f>224179+225</f>
        <v>224404</v>
      </c>
      <c r="K186" s="74"/>
      <c r="L186" s="74"/>
      <c r="M186" s="74"/>
      <c r="N186" s="74"/>
      <c r="O186" s="59">
        <f t="shared" si="27"/>
        <v>417455</v>
      </c>
      <c r="P186" s="83"/>
      <c r="Q186" s="83"/>
    </row>
    <row r="187" spans="1:17" s="84" customFormat="1" ht="20.25" customHeight="1">
      <c r="A187" s="62" t="s">
        <v>310</v>
      </c>
      <c r="B187" s="164" t="s">
        <v>319</v>
      </c>
      <c r="C187" s="62">
        <f>C188+C189</f>
        <v>427465</v>
      </c>
      <c r="D187" s="62">
        <f aca="true" t="shared" si="36" ref="D187:K187">D188+D189</f>
        <v>380400</v>
      </c>
      <c r="E187" s="62">
        <f t="shared" si="36"/>
        <v>0</v>
      </c>
      <c r="F187" s="62">
        <f t="shared" si="36"/>
        <v>11705</v>
      </c>
      <c r="G187" s="62">
        <f t="shared" si="36"/>
        <v>8000</v>
      </c>
      <c r="H187" s="62">
        <f t="shared" si="36"/>
        <v>0</v>
      </c>
      <c r="I187" s="62">
        <f t="shared" si="36"/>
        <v>342186</v>
      </c>
      <c r="J187" s="62">
        <f>J188+J189</f>
        <v>329823</v>
      </c>
      <c r="K187" s="62">
        <f t="shared" si="36"/>
        <v>0</v>
      </c>
      <c r="L187" s="62">
        <f>L188+L189</f>
        <v>42795</v>
      </c>
      <c r="M187" s="62">
        <f>M188+M189</f>
        <v>0</v>
      </c>
      <c r="N187" s="62">
        <f>N188+N189</f>
        <v>2700</v>
      </c>
      <c r="O187" s="59">
        <f t="shared" si="27"/>
        <v>824151</v>
      </c>
      <c r="P187" s="83"/>
      <c r="Q187" s="83"/>
    </row>
    <row r="188" spans="1:17" s="84" customFormat="1" ht="15" customHeight="1">
      <c r="A188" s="81" t="s">
        <v>312</v>
      </c>
      <c r="B188" s="139" t="s">
        <v>282</v>
      </c>
      <c r="C188" s="197">
        <f>435580-8115-52580-5000</f>
        <v>369885</v>
      </c>
      <c r="D188" s="197">
        <f>388400-8000-41890-5000</f>
        <v>333510</v>
      </c>
      <c r="E188" s="74"/>
      <c r="F188" s="74">
        <f>3590+8115</f>
        <v>11705</v>
      </c>
      <c r="G188" s="74">
        <v>8000</v>
      </c>
      <c r="H188" s="74"/>
      <c r="I188" s="74">
        <v>156767</v>
      </c>
      <c r="J188" s="74">
        <f>150223+400</f>
        <v>150623</v>
      </c>
      <c r="K188" s="74"/>
      <c r="L188" s="74">
        <v>41844</v>
      </c>
      <c r="M188" s="74"/>
      <c r="N188" s="74">
        <v>2700</v>
      </c>
      <c r="O188" s="59">
        <f t="shared" si="27"/>
        <v>580201</v>
      </c>
      <c r="P188" s="83"/>
      <c r="Q188" s="83"/>
    </row>
    <row r="189" spans="1:17" s="84" customFormat="1" ht="15" customHeight="1">
      <c r="A189" s="81" t="s">
        <v>313</v>
      </c>
      <c r="B189" s="139" t="s">
        <v>284</v>
      </c>
      <c r="C189" s="197">
        <f>52580+5000</f>
        <v>57580</v>
      </c>
      <c r="D189" s="197">
        <f>41890+5000</f>
        <v>46890</v>
      </c>
      <c r="E189" s="74"/>
      <c r="F189" s="74"/>
      <c r="G189" s="74"/>
      <c r="H189" s="74"/>
      <c r="I189" s="74">
        <v>185419</v>
      </c>
      <c r="J189" s="74">
        <f>179000+200</f>
        <v>179200</v>
      </c>
      <c r="K189" s="74"/>
      <c r="L189" s="74">
        <v>951</v>
      </c>
      <c r="M189" s="74"/>
      <c r="N189" s="74"/>
      <c r="O189" s="59">
        <f t="shared" si="27"/>
        <v>243950</v>
      </c>
      <c r="P189" s="83"/>
      <c r="Q189" s="83"/>
    </row>
    <row r="190" spans="1:17" s="84" customFormat="1" ht="17.25" customHeight="1">
      <c r="A190" s="62" t="s">
        <v>314</v>
      </c>
      <c r="B190" s="148" t="s">
        <v>315</v>
      </c>
      <c r="C190" s="198">
        <f aca="true" t="shared" si="37" ref="C190:N190">C191+C192</f>
        <v>584205</v>
      </c>
      <c r="D190" s="198">
        <f t="shared" si="37"/>
        <v>543000</v>
      </c>
      <c r="E190" s="62">
        <f t="shared" si="37"/>
        <v>0</v>
      </c>
      <c r="F190" s="62">
        <f t="shared" si="37"/>
        <v>26425</v>
      </c>
      <c r="G190" s="62">
        <f t="shared" si="37"/>
        <v>10000</v>
      </c>
      <c r="H190" s="62">
        <f t="shared" si="37"/>
        <v>0</v>
      </c>
      <c r="I190" s="62">
        <f t="shared" si="37"/>
        <v>414532</v>
      </c>
      <c r="J190" s="62">
        <f t="shared" si="37"/>
        <v>399698</v>
      </c>
      <c r="K190" s="62">
        <f t="shared" si="37"/>
        <v>0</v>
      </c>
      <c r="L190" s="62">
        <f t="shared" si="37"/>
        <v>77815</v>
      </c>
      <c r="M190" s="62">
        <f t="shared" si="37"/>
        <v>0</v>
      </c>
      <c r="N190" s="62">
        <f t="shared" si="37"/>
        <v>7000</v>
      </c>
      <c r="O190" s="59">
        <f>C190+F190+I190+L190</f>
        <v>1102977</v>
      </c>
      <c r="P190" s="83"/>
      <c r="Q190" s="83"/>
    </row>
    <row r="191" spans="1:17" s="84" customFormat="1" ht="15" customHeight="1">
      <c r="A191" s="81" t="s">
        <v>316</v>
      </c>
      <c r="B191" s="139" t="s">
        <v>282</v>
      </c>
      <c r="C191" s="74">
        <f>609250-10145-14900-30557</f>
        <v>553648</v>
      </c>
      <c r="D191" s="74">
        <f>553000-10000-30120</f>
        <v>512880</v>
      </c>
      <c r="E191" s="74"/>
      <c r="F191" s="74">
        <f>14900+1380+10145</f>
        <v>26425</v>
      </c>
      <c r="G191" s="74">
        <v>10000</v>
      </c>
      <c r="H191" s="74"/>
      <c r="I191" s="74">
        <v>314266</v>
      </c>
      <c r="J191" s="74">
        <f>300343+1200</f>
        <v>301543</v>
      </c>
      <c r="K191" s="62"/>
      <c r="L191" s="74">
        <f>76760+1055</f>
        <v>77815</v>
      </c>
      <c r="M191" s="74"/>
      <c r="N191" s="74">
        <v>7000</v>
      </c>
      <c r="O191" s="59">
        <f>C191+F191+I191+L191</f>
        <v>972154</v>
      </c>
      <c r="P191" s="83"/>
      <c r="Q191" s="83"/>
    </row>
    <row r="192" spans="1:17" s="84" customFormat="1" ht="15" customHeight="1">
      <c r="A192" s="81" t="s">
        <v>317</v>
      </c>
      <c r="B192" s="139" t="s">
        <v>284</v>
      </c>
      <c r="C192" s="74">
        <v>30557</v>
      </c>
      <c r="D192" s="74">
        <v>30120</v>
      </c>
      <c r="E192" s="74"/>
      <c r="F192" s="74"/>
      <c r="G192" s="74"/>
      <c r="H192" s="74"/>
      <c r="I192" s="74">
        <v>100266</v>
      </c>
      <c r="J192" s="74">
        <f>97925+230</f>
        <v>98155</v>
      </c>
      <c r="K192" s="74"/>
      <c r="L192" s="74"/>
      <c r="M192" s="74"/>
      <c r="N192" s="74"/>
      <c r="O192" s="59">
        <f>C192+F192+I192+L192</f>
        <v>130823</v>
      </c>
      <c r="P192" s="83"/>
      <c r="Q192" s="83"/>
    </row>
    <row r="193" spans="1:17" s="84" customFormat="1" ht="20.25" customHeight="1">
      <c r="A193" s="62" t="s">
        <v>318</v>
      </c>
      <c r="B193" s="164" t="s">
        <v>321</v>
      </c>
      <c r="C193" s="62">
        <f>680220-12175</f>
        <v>668045</v>
      </c>
      <c r="D193" s="62">
        <f>629100-12000</f>
        <v>617100</v>
      </c>
      <c r="E193" s="62"/>
      <c r="F193" s="62">
        <f>7178+12175</f>
        <v>19353</v>
      </c>
      <c r="G193" s="62">
        <v>12000</v>
      </c>
      <c r="H193" s="62">
        <v>2800</v>
      </c>
      <c r="I193" s="62">
        <v>397281</v>
      </c>
      <c r="J193" s="62">
        <f>381890+800</f>
        <v>382690</v>
      </c>
      <c r="K193" s="62">
        <v>2800</v>
      </c>
      <c r="L193" s="62">
        <f>122+74218</f>
        <v>74340</v>
      </c>
      <c r="M193" s="62"/>
      <c r="N193" s="62">
        <v>4025</v>
      </c>
      <c r="O193" s="59">
        <f t="shared" si="27"/>
        <v>1159019</v>
      </c>
      <c r="P193" s="83"/>
      <c r="Q193" s="83"/>
    </row>
    <row r="194" spans="1:17" s="84" customFormat="1" ht="19.5" customHeight="1">
      <c r="A194" s="62" t="s">
        <v>320</v>
      </c>
      <c r="B194" s="148" t="s">
        <v>323</v>
      </c>
      <c r="C194" s="62">
        <f>464540-20565</f>
        <v>443975</v>
      </c>
      <c r="D194" s="62">
        <f>449370-20275</f>
        <v>429095</v>
      </c>
      <c r="E194" s="62"/>
      <c r="F194" s="62">
        <v>20565</v>
      </c>
      <c r="G194" s="62">
        <v>20275</v>
      </c>
      <c r="H194" s="62"/>
      <c r="I194" s="62">
        <v>55320</v>
      </c>
      <c r="J194" s="62">
        <v>54530</v>
      </c>
      <c r="K194" s="62"/>
      <c r="L194" s="62">
        <f>890+39501</f>
        <v>40391</v>
      </c>
      <c r="M194" s="62">
        <v>23000</v>
      </c>
      <c r="N194" s="62"/>
      <c r="O194" s="59">
        <f t="shared" si="27"/>
        <v>560251</v>
      </c>
      <c r="P194" s="83"/>
      <c r="Q194" s="83"/>
    </row>
    <row r="195" spans="1:17" s="84" customFormat="1" ht="30.75" customHeight="1">
      <c r="A195" s="62" t="s">
        <v>322</v>
      </c>
      <c r="B195" s="148" t="s">
        <v>476</v>
      </c>
      <c r="C195" s="62">
        <v>150600</v>
      </c>
      <c r="D195" s="62">
        <v>125250</v>
      </c>
      <c r="E195" s="62"/>
      <c r="F195" s="62"/>
      <c r="G195" s="62"/>
      <c r="H195" s="62"/>
      <c r="I195" s="62">
        <v>98496</v>
      </c>
      <c r="J195" s="62">
        <f>97038+51</f>
        <v>97089</v>
      </c>
      <c r="K195" s="62"/>
      <c r="L195" s="62">
        <f>1000+20460</f>
        <v>21460</v>
      </c>
      <c r="M195" s="62"/>
      <c r="N195" s="62"/>
      <c r="O195" s="59">
        <f t="shared" si="27"/>
        <v>270556</v>
      </c>
      <c r="P195" s="83"/>
      <c r="Q195" s="83"/>
    </row>
    <row r="196" spans="1:17" s="166" customFormat="1" ht="18" customHeight="1">
      <c r="A196" s="62" t="s">
        <v>324</v>
      </c>
      <c r="B196" s="61" t="s">
        <v>109</v>
      </c>
      <c r="C196" s="62">
        <f aca="true" t="shared" si="38" ref="C196:N196">SUM(C197:C206)</f>
        <v>648582</v>
      </c>
      <c r="D196" s="62">
        <f t="shared" si="38"/>
        <v>0</v>
      </c>
      <c r="E196" s="62">
        <f t="shared" si="38"/>
        <v>176682</v>
      </c>
      <c r="F196" s="62">
        <f t="shared" si="38"/>
        <v>127361</v>
      </c>
      <c r="G196" s="62">
        <f t="shared" si="38"/>
        <v>0</v>
      </c>
      <c r="H196" s="62">
        <f t="shared" si="38"/>
        <v>0</v>
      </c>
      <c r="I196" s="62">
        <f t="shared" si="38"/>
        <v>157035</v>
      </c>
      <c r="J196" s="62">
        <f t="shared" si="38"/>
        <v>154791</v>
      </c>
      <c r="K196" s="62">
        <f t="shared" si="38"/>
        <v>0</v>
      </c>
      <c r="L196" s="62">
        <f t="shared" si="38"/>
        <v>0</v>
      </c>
      <c r="M196" s="62">
        <f t="shared" si="38"/>
        <v>0</v>
      </c>
      <c r="N196" s="62">
        <f t="shared" si="38"/>
        <v>0</v>
      </c>
      <c r="O196" s="59">
        <f t="shared" si="27"/>
        <v>932978</v>
      </c>
      <c r="P196" s="83"/>
      <c r="Q196" s="83"/>
    </row>
    <row r="197" spans="1:17" s="84" customFormat="1" ht="15" customHeight="1">
      <c r="A197" s="81" t="s">
        <v>425</v>
      </c>
      <c r="B197" s="139" t="s">
        <v>327</v>
      </c>
      <c r="C197" s="74">
        <v>330000</v>
      </c>
      <c r="D197" s="74"/>
      <c r="E197" s="74"/>
      <c r="F197" s="62"/>
      <c r="G197" s="74"/>
      <c r="H197" s="74"/>
      <c r="I197" s="62"/>
      <c r="J197" s="62"/>
      <c r="K197" s="74"/>
      <c r="L197" s="62"/>
      <c r="M197" s="74"/>
      <c r="N197" s="74"/>
      <c r="O197" s="59">
        <f t="shared" si="27"/>
        <v>330000</v>
      </c>
      <c r="P197" s="83"/>
      <c r="Q197" s="83"/>
    </row>
    <row r="198" spans="1:17" s="84" customFormat="1" ht="28.5" customHeight="1">
      <c r="A198" s="81" t="s">
        <v>426</v>
      </c>
      <c r="B198" s="139" t="s">
        <v>329</v>
      </c>
      <c r="C198" s="74">
        <v>10000</v>
      </c>
      <c r="D198" s="74"/>
      <c r="E198" s="74"/>
      <c r="F198" s="62"/>
      <c r="G198" s="74"/>
      <c r="H198" s="74"/>
      <c r="I198" s="62"/>
      <c r="J198" s="62"/>
      <c r="K198" s="74"/>
      <c r="L198" s="62"/>
      <c r="M198" s="74"/>
      <c r="N198" s="74"/>
      <c r="O198" s="59">
        <f t="shared" si="27"/>
        <v>10000</v>
      </c>
      <c r="P198" s="83"/>
      <c r="Q198" s="83"/>
    </row>
    <row r="199" spans="1:17" s="89" customFormat="1" ht="27.75" customHeight="1">
      <c r="A199" s="81" t="s">
        <v>427</v>
      </c>
      <c r="B199" s="139" t="s">
        <v>331</v>
      </c>
      <c r="C199" s="74">
        <v>8000</v>
      </c>
      <c r="D199" s="74"/>
      <c r="E199" s="167"/>
      <c r="F199" s="168"/>
      <c r="G199" s="167"/>
      <c r="H199" s="167"/>
      <c r="I199" s="168"/>
      <c r="J199" s="168"/>
      <c r="K199" s="167"/>
      <c r="L199" s="168"/>
      <c r="M199" s="167"/>
      <c r="N199" s="167"/>
      <c r="O199" s="59">
        <f t="shared" si="27"/>
        <v>8000</v>
      </c>
      <c r="P199" s="88"/>
      <c r="Q199" s="88"/>
    </row>
    <row r="200" spans="1:17" s="89" customFormat="1" ht="17.25" customHeight="1">
      <c r="A200" s="81" t="s">
        <v>428</v>
      </c>
      <c r="B200" s="139" t="s">
        <v>333</v>
      </c>
      <c r="C200" s="74"/>
      <c r="D200" s="74"/>
      <c r="E200" s="167"/>
      <c r="F200" s="74">
        <f>131300-3939</f>
        <v>127361</v>
      </c>
      <c r="G200" s="167"/>
      <c r="H200" s="167"/>
      <c r="I200" s="168"/>
      <c r="J200" s="168"/>
      <c r="K200" s="167"/>
      <c r="L200" s="168"/>
      <c r="M200" s="167"/>
      <c r="N200" s="167"/>
      <c r="O200" s="59">
        <f t="shared" si="27"/>
        <v>127361</v>
      </c>
      <c r="P200" s="88"/>
      <c r="Q200" s="88"/>
    </row>
    <row r="201" spans="1:17" s="84" customFormat="1" ht="29.25" customHeight="1">
      <c r="A201" s="90" t="s">
        <v>429</v>
      </c>
      <c r="B201" s="139" t="s">
        <v>623</v>
      </c>
      <c r="C201" s="74">
        <v>13000</v>
      </c>
      <c r="D201" s="74"/>
      <c r="E201" s="74"/>
      <c r="F201" s="74"/>
      <c r="G201" s="74"/>
      <c r="H201" s="74"/>
      <c r="I201" s="62"/>
      <c r="J201" s="74"/>
      <c r="K201" s="74"/>
      <c r="L201" s="62"/>
      <c r="M201" s="74"/>
      <c r="N201" s="74"/>
      <c r="O201" s="59">
        <f t="shared" si="27"/>
        <v>13000</v>
      </c>
      <c r="P201" s="83"/>
      <c r="Q201" s="83"/>
    </row>
    <row r="202" spans="1:17" s="84" customFormat="1" ht="29.25" customHeight="1">
      <c r="A202" s="81" t="s">
        <v>430</v>
      </c>
      <c r="B202" s="139" t="s">
        <v>582</v>
      </c>
      <c r="C202" s="74">
        <v>176682</v>
      </c>
      <c r="D202" s="74"/>
      <c r="E202" s="74">
        <v>176682</v>
      </c>
      <c r="F202" s="74"/>
      <c r="G202" s="74"/>
      <c r="H202" s="74"/>
      <c r="I202" s="62"/>
      <c r="J202" s="74"/>
      <c r="K202" s="74"/>
      <c r="L202" s="62"/>
      <c r="M202" s="74"/>
      <c r="N202" s="74"/>
      <c r="O202" s="59">
        <f t="shared" si="27"/>
        <v>176682</v>
      </c>
      <c r="P202" s="83"/>
      <c r="Q202" s="83"/>
    </row>
    <row r="203" spans="1:17" s="84" customFormat="1" ht="18.75" customHeight="1">
      <c r="A203" s="81" t="s">
        <v>583</v>
      </c>
      <c r="B203" s="139" t="s">
        <v>431</v>
      </c>
      <c r="C203" s="74">
        <v>59000</v>
      </c>
      <c r="D203" s="74"/>
      <c r="E203" s="74"/>
      <c r="F203" s="74"/>
      <c r="G203" s="74"/>
      <c r="H203" s="74"/>
      <c r="I203" s="62"/>
      <c r="J203" s="74"/>
      <c r="K203" s="74"/>
      <c r="L203" s="62"/>
      <c r="M203" s="74"/>
      <c r="N203" s="74"/>
      <c r="O203" s="59">
        <f t="shared" si="27"/>
        <v>59000</v>
      </c>
      <c r="P203" s="83"/>
      <c r="Q203" s="83"/>
    </row>
    <row r="204" spans="1:17" s="84" customFormat="1" ht="15" customHeight="1">
      <c r="A204" s="81" t="s">
        <v>584</v>
      </c>
      <c r="B204" s="139" t="s">
        <v>587</v>
      </c>
      <c r="C204" s="74">
        <v>13000</v>
      </c>
      <c r="D204" s="74"/>
      <c r="E204" s="74"/>
      <c r="F204" s="62"/>
      <c r="G204" s="74"/>
      <c r="H204" s="74"/>
      <c r="I204" s="62"/>
      <c r="J204" s="62"/>
      <c r="K204" s="74"/>
      <c r="L204" s="62"/>
      <c r="M204" s="74"/>
      <c r="N204" s="74"/>
      <c r="O204" s="59">
        <f>C204+F204+I204+L204</f>
        <v>13000</v>
      </c>
      <c r="P204" s="83"/>
      <c r="Q204" s="83"/>
    </row>
    <row r="205" spans="1:17" s="84" customFormat="1" ht="29.25" customHeight="1">
      <c r="A205" s="81" t="s">
        <v>624</v>
      </c>
      <c r="B205" s="139" t="s">
        <v>588</v>
      </c>
      <c r="C205" s="74">
        <v>38900</v>
      </c>
      <c r="D205" s="74"/>
      <c r="E205" s="74"/>
      <c r="F205" s="62"/>
      <c r="G205" s="74"/>
      <c r="H205" s="74"/>
      <c r="I205" s="62"/>
      <c r="J205" s="62"/>
      <c r="K205" s="74"/>
      <c r="L205" s="62"/>
      <c r="M205" s="74"/>
      <c r="N205" s="74"/>
      <c r="O205" s="59">
        <f>C205+F205+I205+L205</f>
        <v>38900</v>
      </c>
      <c r="P205" s="83"/>
      <c r="Q205" s="83"/>
    </row>
    <row r="206" spans="1:17" s="84" customFormat="1" ht="17.25" customHeight="1">
      <c r="A206" s="81" t="s">
        <v>625</v>
      </c>
      <c r="B206" s="139" t="s">
        <v>585</v>
      </c>
      <c r="C206" s="74"/>
      <c r="D206" s="74"/>
      <c r="E206" s="74"/>
      <c r="F206" s="62"/>
      <c r="G206" s="74"/>
      <c r="H206" s="74"/>
      <c r="I206" s="62">
        <v>157035</v>
      </c>
      <c r="J206" s="74">
        <v>154791</v>
      </c>
      <c r="K206" s="74"/>
      <c r="L206" s="62"/>
      <c r="M206" s="74"/>
      <c r="N206" s="74"/>
      <c r="O206" s="59">
        <f t="shared" si="27"/>
        <v>157035</v>
      </c>
      <c r="P206" s="83"/>
      <c r="Q206" s="83"/>
    </row>
    <row r="207" spans="1:17" s="68" customFormat="1" ht="29.25" customHeight="1">
      <c r="A207" s="59" t="s">
        <v>325</v>
      </c>
      <c r="B207" s="61" t="s">
        <v>144</v>
      </c>
      <c r="C207" s="59">
        <f>C208</f>
        <v>215000</v>
      </c>
      <c r="D207" s="59">
        <f aca="true" t="shared" si="39" ref="D207:N207">D208</f>
        <v>0</v>
      </c>
      <c r="E207" s="59">
        <f t="shared" si="39"/>
        <v>25000</v>
      </c>
      <c r="F207" s="59">
        <f t="shared" si="39"/>
        <v>0</v>
      </c>
      <c r="G207" s="59">
        <f t="shared" si="39"/>
        <v>0</v>
      </c>
      <c r="H207" s="59">
        <f t="shared" si="39"/>
        <v>0</v>
      </c>
      <c r="I207" s="59"/>
      <c r="J207" s="59"/>
      <c r="K207" s="59">
        <f t="shared" si="39"/>
        <v>0</v>
      </c>
      <c r="L207" s="59">
        <f t="shared" si="39"/>
        <v>0</v>
      </c>
      <c r="M207" s="59">
        <f t="shared" si="39"/>
        <v>0</v>
      </c>
      <c r="N207" s="59">
        <f t="shared" si="39"/>
        <v>0</v>
      </c>
      <c r="O207" s="59">
        <f t="shared" si="27"/>
        <v>215000</v>
      </c>
      <c r="P207" s="67"/>
      <c r="Q207" s="67"/>
    </row>
    <row r="208" spans="1:17" s="84" customFormat="1" ht="15" customHeight="1">
      <c r="A208" s="87" t="s">
        <v>326</v>
      </c>
      <c r="B208" s="139" t="s">
        <v>337</v>
      </c>
      <c r="C208" s="74">
        <f aca="true" t="shared" si="40" ref="C208:N208">SUM(C209:C212)</f>
        <v>215000</v>
      </c>
      <c r="D208" s="74">
        <f t="shared" si="40"/>
        <v>0</v>
      </c>
      <c r="E208" s="74">
        <f t="shared" si="40"/>
        <v>25000</v>
      </c>
      <c r="F208" s="74">
        <f t="shared" si="40"/>
        <v>0</v>
      </c>
      <c r="G208" s="74">
        <f t="shared" si="40"/>
        <v>0</v>
      </c>
      <c r="H208" s="74">
        <f t="shared" si="40"/>
        <v>0</v>
      </c>
      <c r="I208" s="74">
        <f t="shared" si="40"/>
        <v>0</v>
      </c>
      <c r="J208" s="74">
        <f t="shared" si="40"/>
        <v>0</v>
      </c>
      <c r="K208" s="74">
        <f t="shared" si="40"/>
        <v>0</v>
      </c>
      <c r="L208" s="74">
        <f t="shared" si="40"/>
        <v>0</v>
      </c>
      <c r="M208" s="74">
        <f t="shared" si="40"/>
        <v>0</v>
      </c>
      <c r="N208" s="74">
        <f t="shared" si="40"/>
        <v>0</v>
      </c>
      <c r="O208" s="59">
        <f>C208+F208+I208+L208</f>
        <v>215000</v>
      </c>
      <c r="P208" s="83"/>
      <c r="Q208" s="83"/>
    </row>
    <row r="209" spans="1:17" s="84" customFormat="1" ht="29.25" customHeight="1">
      <c r="A209" s="81" t="s">
        <v>328</v>
      </c>
      <c r="B209" s="139" t="s">
        <v>626</v>
      </c>
      <c r="C209" s="74">
        <v>155000</v>
      </c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59">
        <f t="shared" si="27"/>
        <v>155000</v>
      </c>
      <c r="P209" s="83"/>
      <c r="Q209" s="83"/>
    </row>
    <row r="210" spans="1:17" s="84" customFormat="1" ht="30" customHeight="1">
      <c r="A210" s="81" t="s">
        <v>330</v>
      </c>
      <c r="B210" s="139" t="s">
        <v>432</v>
      </c>
      <c r="C210" s="74">
        <v>25000</v>
      </c>
      <c r="D210" s="74"/>
      <c r="E210" s="74"/>
      <c r="F210" s="62"/>
      <c r="G210" s="74"/>
      <c r="H210" s="74"/>
      <c r="I210" s="62"/>
      <c r="J210" s="62"/>
      <c r="K210" s="74"/>
      <c r="L210" s="62"/>
      <c r="M210" s="74"/>
      <c r="N210" s="74"/>
      <c r="O210" s="59">
        <f t="shared" si="27"/>
        <v>25000</v>
      </c>
      <c r="P210" s="83"/>
      <c r="Q210" s="83"/>
    </row>
    <row r="211" spans="1:17" s="84" customFormat="1" ht="16.5" customHeight="1">
      <c r="A211" s="81" t="s">
        <v>332</v>
      </c>
      <c r="B211" s="139" t="s">
        <v>586</v>
      </c>
      <c r="C211" s="74">
        <v>10000</v>
      </c>
      <c r="D211" s="74"/>
      <c r="E211" s="74"/>
      <c r="F211" s="62"/>
      <c r="G211" s="74"/>
      <c r="H211" s="74"/>
      <c r="I211" s="62"/>
      <c r="J211" s="62"/>
      <c r="K211" s="74"/>
      <c r="L211" s="62"/>
      <c r="M211" s="74"/>
      <c r="N211" s="74"/>
      <c r="O211" s="59">
        <f>C211+F211+I211+L211</f>
        <v>10000</v>
      </c>
      <c r="P211" s="83"/>
      <c r="Q211" s="83"/>
    </row>
    <row r="212" spans="1:17" s="84" customFormat="1" ht="15" customHeight="1">
      <c r="A212" s="81" t="s">
        <v>334</v>
      </c>
      <c r="B212" s="139" t="s">
        <v>627</v>
      </c>
      <c r="C212" s="74">
        <v>25000</v>
      </c>
      <c r="D212" s="74"/>
      <c r="E212" s="74">
        <v>25000</v>
      </c>
      <c r="F212" s="62"/>
      <c r="G212" s="74"/>
      <c r="H212" s="74"/>
      <c r="I212" s="62"/>
      <c r="J212" s="62"/>
      <c r="K212" s="74"/>
      <c r="L212" s="62"/>
      <c r="M212" s="74"/>
      <c r="N212" s="74"/>
      <c r="O212" s="59">
        <f>C212+F212+I212+L212</f>
        <v>25000</v>
      </c>
      <c r="P212" s="83"/>
      <c r="Q212" s="83"/>
    </row>
    <row r="213" spans="1:17" s="54" customFormat="1" ht="15" customHeight="1">
      <c r="A213" s="73"/>
      <c r="B213" s="189" t="s">
        <v>338</v>
      </c>
      <c r="C213" s="189"/>
      <c r="D213" s="189"/>
      <c r="E213" s="189"/>
      <c r="F213" s="189"/>
      <c r="G213" s="189"/>
      <c r="H213" s="189"/>
      <c r="I213" s="189"/>
      <c r="J213" s="189"/>
      <c r="K213" s="189"/>
      <c r="L213" s="189"/>
      <c r="M213" s="189"/>
      <c r="N213" s="189"/>
      <c r="O213" s="189"/>
      <c r="P213" s="29"/>
      <c r="Q213" s="29"/>
    </row>
    <row r="214" spans="1:17" s="72" customFormat="1" ht="15" customHeight="1">
      <c r="A214" s="64"/>
      <c r="B214" s="61" t="s">
        <v>107</v>
      </c>
      <c r="C214" s="62">
        <f aca="true" t="shared" si="41" ref="C214:O214">C215+C252+C251+C250</f>
        <v>4327368</v>
      </c>
      <c r="D214" s="62">
        <f t="shared" si="41"/>
        <v>1517440</v>
      </c>
      <c r="E214" s="62">
        <f t="shared" si="41"/>
        <v>58050</v>
      </c>
      <c r="F214" s="62">
        <f t="shared" si="41"/>
        <v>2341224</v>
      </c>
      <c r="G214" s="62">
        <f t="shared" si="41"/>
        <v>369679</v>
      </c>
      <c r="H214" s="62">
        <f t="shared" si="41"/>
        <v>25426</v>
      </c>
      <c r="I214" s="62">
        <f t="shared" si="41"/>
        <v>0</v>
      </c>
      <c r="J214" s="62">
        <f t="shared" si="41"/>
        <v>0</v>
      </c>
      <c r="K214" s="62">
        <f t="shared" si="41"/>
        <v>0</v>
      </c>
      <c r="L214" s="62">
        <f t="shared" si="41"/>
        <v>343380</v>
      </c>
      <c r="M214" s="62">
        <f t="shared" si="41"/>
        <v>273053</v>
      </c>
      <c r="N214" s="62">
        <f t="shared" si="41"/>
        <v>0</v>
      </c>
      <c r="O214" s="62">
        <f t="shared" si="41"/>
        <v>7011972</v>
      </c>
      <c r="P214" s="67"/>
      <c r="Q214" s="67">
        <f>O214+P214</f>
        <v>7011972</v>
      </c>
    </row>
    <row r="215" spans="1:17" s="52" customFormat="1" ht="15" customHeight="1">
      <c r="A215" s="59" t="s">
        <v>335</v>
      </c>
      <c r="B215" s="61" t="s">
        <v>109</v>
      </c>
      <c r="C215" s="59">
        <f aca="true" t="shared" si="42" ref="C215:O215">SUM(C216:C249)</f>
        <v>3665413</v>
      </c>
      <c r="D215" s="59">
        <f t="shared" si="42"/>
        <v>973540</v>
      </c>
      <c r="E215" s="59">
        <f t="shared" si="42"/>
        <v>33050</v>
      </c>
      <c r="F215" s="59">
        <f t="shared" si="42"/>
        <v>2108205</v>
      </c>
      <c r="G215" s="59">
        <f t="shared" si="42"/>
        <v>344600</v>
      </c>
      <c r="H215" s="59">
        <f t="shared" si="42"/>
        <v>25426</v>
      </c>
      <c r="I215" s="59">
        <f t="shared" si="42"/>
        <v>0</v>
      </c>
      <c r="J215" s="59">
        <f t="shared" si="42"/>
        <v>0</v>
      </c>
      <c r="K215" s="59">
        <f t="shared" si="42"/>
        <v>0</v>
      </c>
      <c r="L215" s="59">
        <f t="shared" si="42"/>
        <v>0</v>
      </c>
      <c r="M215" s="59">
        <f t="shared" si="42"/>
        <v>0</v>
      </c>
      <c r="N215" s="59">
        <f t="shared" si="42"/>
        <v>0</v>
      </c>
      <c r="O215" s="59">
        <f t="shared" si="42"/>
        <v>5773618</v>
      </c>
      <c r="P215" s="29"/>
      <c r="Q215" s="29"/>
    </row>
    <row r="216" spans="1:17" s="84" customFormat="1" ht="14.25" customHeight="1">
      <c r="A216" s="90" t="s">
        <v>336</v>
      </c>
      <c r="B216" s="139" t="s">
        <v>340</v>
      </c>
      <c r="C216" s="74">
        <f>1390000-12000</f>
        <v>1378000</v>
      </c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59">
        <f aca="true" t="shared" si="43" ref="O216:O253">C216+F216+I216+L216</f>
        <v>1378000</v>
      </c>
      <c r="P216" s="83"/>
      <c r="Q216" s="83"/>
    </row>
    <row r="217" spans="1:17" s="84" customFormat="1" ht="17.25" customHeight="1">
      <c r="A217" s="90" t="s">
        <v>401</v>
      </c>
      <c r="B217" s="139" t="s">
        <v>433</v>
      </c>
      <c r="C217" s="74">
        <f>125000-2000</f>
        <v>123000</v>
      </c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59">
        <f>C217+F217+I217+L217</f>
        <v>123000</v>
      </c>
      <c r="P217" s="83"/>
      <c r="Q217" s="83"/>
    </row>
    <row r="218" spans="1:17" s="84" customFormat="1" ht="27.75" customHeight="1">
      <c r="A218" s="90" t="s">
        <v>402</v>
      </c>
      <c r="B218" s="139" t="s">
        <v>341</v>
      </c>
      <c r="C218" s="74">
        <f>190000+15000</f>
        <v>205000</v>
      </c>
      <c r="D218" s="74"/>
      <c r="E218" s="74"/>
      <c r="F218" s="74">
        <v>167000</v>
      </c>
      <c r="G218" s="74"/>
      <c r="H218" s="74"/>
      <c r="I218" s="74"/>
      <c r="J218" s="74"/>
      <c r="K218" s="74"/>
      <c r="L218" s="74"/>
      <c r="M218" s="74"/>
      <c r="N218" s="74"/>
      <c r="O218" s="59">
        <f>C218+F218+I218+L218</f>
        <v>372000</v>
      </c>
      <c r="P218" s="83"/>
      <c r="Q218" s="83"/>
    </row>
    <row r="219" spans="1:17" s="84" customFormat="1" ht="14.25" customHeight="1">
      <c r="A219" s="90" t="s">
        <v>403</v>
      </c>
      <c r="B219" s="139" t="s">
        <v>342</v>
      </c>
      <c r="C219" s="74"/>
      <c r="D219" s="74"/>
      <c r="E219" s="74"/>
      <c r="F219" s="74">
        <f>171700-4100</f>
        <v>167600</v>
      </c>
      <c r="G219" s="74"/>
      <c r="H219" s="74"/>
      <c r="I219" s="74"/>
      <c r="J219" s="74"/>
      <c r="K219" s="74"/>
      <c r="L219" s="74"/>
      <c r="M219" s="74"/>
      <c r="N219" s="74"/>
      <c r="O219" s="59">
        <f t="shared" si="43"/>
        <v>167600</v>
      </c>
      <c r="P219" s="83"/>
      <c r="Q219" s="83"/>
    </row>
    <row r="220" spans="1:17" s="84" customFormat="1" ht="27.75" customHeight="1">
      <c r="A220" s="90" t="s">
        <v>404</v>
      </c>
      <c r="B220" s="139" t="s">
        <v>343</v>
      </c>
      <c r="C220" s="74"/>
      <c r="D220" s="74"/>
      <c r="E220" s="74"/>
      <c r="F220" s="74">
        <v>1800</v>
      </c>
      <c r="G220" s="74"/>
      <c r="H220" s="74"/>
      <c r="I220" s="74"/>
      <c r="J220" s="74"/>
      <c r="K220" s="74"/>
      <c r="L220" s="74"/>
      <c r="M220" s="74"/>
      <c r="N220" s="74"/>
      <c r="O220" s="59">
        <f t="shared" si="43"/>
        <v>1800</v>
      </c>
      <c r="P220" s="83"/>
      <c r="Q220" s="83"/>
    </row>
    <row r="221" spans="1:17" s="84" customFormat="1" ht="15" customHeight="1">
      <c r="A221" s="90" t="s">
        <v>405</v>
      </c>
      <c r="B221" s="139" t="s">
        <v>344</v>
      </c>
      <c r="C221" s="74"/>
      <c r="D221" s="74"/>
      <c r="E221" s="74"/>
      <c r="F221" s="74">
        <v>90000</v>
      </c>
      <c r="G221" s="74"/>
      <c r="H221" s="74"/>
      <c r="I221" s="74"/>
      <c r="J221" s="74"/>
      <c r="K221" s="74"/>
      <c r="L221" s="74"/>
      <c r="M221" s="74"/>
      <c r="N221" s="74"/>
      <c r="O221" s="59">
        <f t="shared" si="43"/>
        <v>90000</v>
      </c>
      <c r="P221" s="83"/>
      <c r="Q221" s="83"/>
    </row>
    <row r="222" spans="1:17" s="84" customFormat="1" ht="15" customHeight="1">
      <c r="A222" s="90" t="s">
        <v>406</v>
      </c>
      <c r="B222" s="139" t="s">
        <v>345</v>
      </c>
      <c r="C222" s="74"/>
      <c r="D222" s="74"/>
      <c r="E222" s="74"/>
      <c r="F222" s="74">
        <f>487800-90000-16000</f>
        <v>381800</v>
      </c>
      <c r="G222" s="74"/>
      <c r="H222" s="74"/>
      <c r="I222" s="74"/>
      <c r="J222" s="74"/>
      <c r="K222" s="74"/>
      <c r="L222" s="74"/>
      <c r="M222" s="74"/>
      <c r="N222" s="74"/>
      <c r="O222" s="59">
        <f t="shared" si="43"/>
        <v>381800</v>
      </c>
      <c r="P222" s="83"/>
      <c r="Q222" s="83"/>
    </row>
    <row r="223" spans="1:17" s="84" customFormat="1" ht="15" customHeight="1">
      <c r="A223" s="90" t="s">
        <v>434</v>
      </c>
      <c r="B223" s="139" t="s">
        <v>346</v>
      </c>
      <c r="C223" s="74">
        <v>130000</v>
      </c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59">
        <f t="shared" si="43"/>
        <v>130000</v>
      </c>
      <c r="P223" s="83"/>
      <c r="Q223" s="83"/>
    </row>
    <row r="224" spans="1:17" s="84" customFormat="1" ht="29.25" customHeight="1">
      <c r="A224" s="90" t="s">
        <v>435</v>
      </c>
      <c r="B224" s="139" t="s">
        <v>347</v>
      </c>
      <c r="C224" s="74"/>
      <c r="D224" s="74"/>
      <c r="E224" s="74"/>
      <c r="F224" s="74">
        <f>869500-325600-15000</f>
        <v>528900</v>
      </c>
      <c r="G224" s="74"/>
      <c r="H224" s="74"/>
      <c r="I224" s="74"/>
      <c r="J224" s="74"/>
      <c r="K224" s="74"/>
      <c r="L224" s="74"/>
      <c r="M224" s="74"/>
      <c r="N224" s="74"/>
      <c r="O224" s="59">
        <f t="shared" si="43"/>
        <v>528900</v>
      </c>
      <c r="P224" s="83"/>
      <c r="Q224" s="83"/>
    </row>
    <row r="225" spans="1:17" s="92" customFormat="1" ht="43.5" customHeight="1">
      <c r="A225" s="91" t="s">
        <v>436</v>
      </c>
      <c r="B225" s="169" t="s">
        <v>437</v>
      </c>
      <c r="C225" s="64"/>
      <c r="D225" s="64"/>
      <c r="E225" s="64"/>
      <c r="F225" s="64">
        <v>325600</v>
      </c>
      <c r="G225" s="64">
        <v>320000</v>
      </c>
      <c r="H225" s="64"/>
      <c r="I225" s="64"/>
      <c r="J225" s="64"/>
      <c r="K225" s="64"/>
      <c r="L225" s="64"/>
      <c r="M225" s="64"/>
      <c r="N225" s="64"/>
      <c r="O225" s="59">
        <f t="shared" si="43"/>
        <v>325600</v>
      </c>
      <c r="P225" s="57"/>
      <c r="Q225" s="57"/>
    </row>
    <row r="226" spans="1:17" s="58" customFormat="1" ht="28.5" customHeight="1">
      <c r="A226" s="91" t="s">
        <v>438</v>
      </c>
      <c r="B226" s="139" t="s">
        <v>589</v>
      </c>
      <c r="C226" s="64">
        <v>110000</v>
      </c>
      <c r="D226" s="64"/>
      <c r="E226" s="64"/>
      <c r="F226" s="64">
        <f>233900-3200</f>
        <v>230700</v>
      </c>
      <c r="G226" s="64"/>
      <c r="H226" s="64"/>
      <c r="I226" s="64"/>
      <c r="J226" s="64"/>
      <c r="K226" s="64"/>
      <c r="L226" s="64"/>
      <c r="M226" s="64"/>
      <c r="N226" s="64"/>
      <c r="O226" s="59">
        <f t="shared" si="43"/>
        <v>340700</v>
      </c>
      <c r="P226" s="67"/>
      <c r="Q226" s="57"/>
    </row>
    <row r="227" spans="1:17" s="92" customFormat="1" ht="17.25" customHeight="1">
      <c r="A227" s="91" t="s">
        <v>440</v>
      </c>
      <c r="B227" s="169" t="s">
        <v>590</v>
      </c>
      <c r="C227" s="64"/>
      <c r="D227" s="64"/>
      <c r="E227" s="64"/>
      <c r="F227" s="64">
        <f>104275-2045</f>
        <v>102230</v>
      </c>
      <c r="G227" s="64"/>
      <c r="H227" s="64"/>
      <c r="I227" s="64"/>
      <c r="J227" s="64"/>
      <c r="K227" s="64"/>
      <c r="L227" s="64"/>
      <c r="M227" s="64"/>
      <c r="N227" s="64"/>
      <c r="O227" s="59">
        <f t="shared" si="43"/>
        <v>102230</v>
      </c>
      <c r="P227" s="57"/>
      <c r="Q227" s="57"/>
    </row>
    <row r="228" spans="1:17" s="84" customFormat="1" ht="29.25" customHeight="1">
      <c r="A228" s="91" t="s">
        <v>441</v>
      </c>
      <c r="B228" s="139" t="s">
        <v>352</v>
      </c>
      <c r="C228" s="74">
        <v>4600</v>
      </c>
      <c r="D228" s="74"/>
      <c r="E228" s="74"/>
      <c r="F228" s="74">
        <f>23573-1123</f>
        <v>22450</v>
      </c>
      <c r="G228" s="74"/>
      <c r="H228" s="74"/>
      <c r="I228" s="62"/>
      <c r="J228" s="62"/>
      <c r="K228" s="74"/>
      <c r="L228" s="62"/>
      <c r="M228" s="74"/>
      <c r="N228" s="74"/>
      <c r="O228" s="59">
        <f t="shared" si="43"/>
        <v>27050</v>
      </c>
      <c r="P228" s="83"/>
      <c r="Q228" s="83"/>
    </row>
    <row r="229" spans="1:17" s="84" customFormat="1" ht="15.75" customHeight="1">
      <c r="A229" s="91" t="s">
        <v>591</v>
      </c>
      <c r="B229" s="139" t="s">
        <v>351</v>
      </c>
      <c r="C229" s="74">
        <v>18000</v>
      </c>
      <c r="D229" s="74"/>
      <c r="E229" s="74"/>
      <c r="F229" s="74">
        <f>41286-1587</f>
        <v>39699</v>
      </c>
      <c r="G229" s="74"/>
      <c r="H229" s="74"/>
      <c r="I229" s="62"/>
      <c r="J229" s="62"/>
      <c r="K229" s="74"/>
      <c r="L229" s="62"/>
      <c r="M229" s="74"/>
      <c r="N229" s="74"/>
      <c r="O229" s="59">
        <f t="shared" si="43"/>
        <v>57699</v>
      </c>
      <c r="P229" s="83"/>
      <c r="Q229" s="83"/>
    </row>
    <row r="230" spans="1:17" s="84" customFormat="1" ht="28.5" customHeight="1">
      <c r="A230" s="91" t="s">
        <v>592</v>
      </c>
      <c r="B230" s="139" t="s">
        <v>439</v>
      </c>
      <c r="C230" s="74">
        <v>340400</v>
      </c>
      <c r="D230" s="74"/>
      <c r="E230" s="74"/>
      <c r="F230" s="74"/>
      <c r="G230" s="74"/>
      <c r="H230" s="74"/>
      <c r="I230" s="62"/>
      <c r="J230" s="62"/>
      <c r="K230" s="74"/>
      <c r="L230" s="62"/>
      <c r="M230" s="74"/>
      <c r="N230" s="74"/>
      <c r="O230" s="59">
        <f t="shared" si="43"/>
        <v>340400</v>
      </c>
      <c r="P230" s="83"/>
      <c r="Q230" s="83"/>
    </row>
    <row r="231" spans="1:17" s="84" customFormat="1" ht="44.25" customHeight="1">
      <c r="A231" s="91" t="s">
        <v>593</v>
      </c>
      <c r="B231" s="139" t="s">
        <v>348</v>
      </c>
      <c r="C231" s="74">
        <v>3000</v>
      </c>
      <c r="D231" s="74"/>
      <c r="E231" s="74"/>
      <c r="F231" s="74"/>
      <c r="G231" s="74"/>
      <c r="H231" s="74"/>
      <c r="I231" s="74"/>
      <c r="J231" s="74"/>
      <c r="K231" s="74"/>
      <c r="L231" s="62"/>
      <c r="M231" s="74"/>
      <c r="N231" s="74"/>
      <c r="O231" s="59">
        <f t="shared" si="43"/>
        <v>3000</v>
      </c>
      <c r="P231" s="83"/>
      <c r="Q231" s="83"/>
    </row>
    <row r="232" spans="1:17" s="58" customFormat="1" ht="28.5" customHeight="1">
      <c r="A232" s="91" t="s">
        <v>442</v>
      </c>
      <c r="B232" s="139" t="s">
        <v>594</v>
      </c>
      <c r="C232" s="64">
        <v>5000</v>
      </c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59">
        <f t="shared" si="43"/>
        <v>5000</v>
      </c>
      <c r="P232" s="67"/>
      <c r="Q232" s="57"/>
    </row>
    <row r="233" spans="1:17" s="58" customFormat="1" ht="15" customHeight="1">
      <c r="A233" s="91" t="s">
        <v>443</v>
      </c>
      <c r="B233" s="139" t="s">
        <v>349</v>
      </c>
      <c r="C233" s="64">
        <v>125800</v>
      </c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59">
        <f t="shared" si="43"/>
        <v>125800</v>
      </c>
      <c r="P233" s="67"/>
      <c r="Q233" s="57"/>
    </row>
    <row r="234" spans="1:17" s="58" customFormat="1" ht="43.5" customHeight="1">
      <c r="A234" s="91" t="s">
        <v>444</v>
      </c>
      <c r="B234" s="139" t="s">
        <v>595</v>
      </c>
      <c r="C234" s="64">
        <v>13000</v>
      </c>
      <c r="D234" s="71"/>
      <c r="E234" s="64">
        <v>500</v>
      </c>
      <c r="F234" s="71"/>
      <c r="G234" s="71"/>
      <c r="H234" s="71"/>
      <c r="I234" s="71"/>
      <c r="J234" s="71"/>
      <c r="K234" s="71"/>
      <c r="L234" s="71"/>
      <c r="M234" s="71"/>
      <c r="N234" s="71"/>
      <c r="O234" s="59">
        <f t="shared" si="43"/>
        <v>13000</v>
      </c>
      <c r="P234" s="67"/>
      <c r="Q234" s="57"/>
    </row>
    <row r="235" spans="1:17" s="84" customFormat="1" ht="16.5" customHeight="1">
      <c r="A235" s="91" t="s">
        <v>445</v>
      </c>
      <c r="B235" s="139" t="s">
        <v>350</v>
      </c>
      <c r="C235" s="74">
        <v>1000</v>
      </c>
      <c r="D235" s="74"/>
      <c r="E235" s="74"/>
      <c r="F235" s="62"/>
      <c r="G235" s="74"/>
      <c r="H235" s="74"/>
      <c r="I235" s="62"/>
      <c r="J235" s="62"/>
      <c r="K235" s="74"/>
      <c r="L235" s="62"/>
      <c r="M235" s="74"/>
      <c r="N235" s="74"/>
      <c r="O235" s="59">
        <f t="shared" si="43"/>
        <v>1000</v>
      </c>
      <c r="P235" s="83"/>
      <c r="Q235" s="83"/>
    </row>
    <row r="236" spans="1:17" s="58" customFormat="1" ht="29.25" customHeight="1">
      <c r="A236" s="91" t="s">
        <v>446</v>
      </c>
      <c r="B236" s="70" t="s">
        <v>353</v>
      </c>
      <c r="C236" s="64">
        <v>48000</v>
      </c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9">
        <f t="shared" si="43"/>
        <v>48000</v>
      </c>
      <c r="P236" s="57"/>
      <c r="Q236" s="57"/>
    </row>
    <row r="237" spans="1:17" s="84" customFormat="1" ht="16.5" customHeight="1">
      <c r="A237" s="91" t="s">
        <v>447</v>
      </c>
      <c r="B237" s="139" t="s">
        <v>354</v>
      </c>
      <c r="C237" s="170">
        <v>10500</v>
      </c>
      <c r="D237" s="74"/>
      <c r="E237" s="74"/>
      <c r="F237" s="62"/>
      <c r="G237" s="74"/>
      <c r="H237" s="74"/>
      <c r="I237" s="62"/>
      <c r="J237" s="62"/>
      <c r="K237" s="74"/>
      <c r="L237" s="62"/>
      <c r="M237" s="74"/>
      <c r="N237" s="74"/>
      <c r="O237" s="59">
        <f t="shared" si="43"/>
        <v>10500</v>
      </c>
      <c r="P237" s="83"/>
      <c r="Q237" s="83"/>
    </row>
    <row r="238" spans="1:17" s="84" customFormat="1" ht="18" customHeight="1">
      <c r="A238" s="91" t="s">
        <v>448</v>
      </c>
      <c r="B238" s="139" t="s">
        <v>355</v>
      </c>
      <c r="C238" s="74">
        <v>63353</v>
      </c>
      <c r="D238" s="74"/>
      <c r="E238" s="74">
        <v>32550</v>
      </c>
      <c r="F238" s="62"/>
      <c r="G238" s="74"/>
      <c r="H238" s="74"/>
      <c r="I238" s="62"/>
      <c r="J238" s="62"/>
      <c r="K238" s="74"/>
      <c r="L238" s="62"/>
      <c r="M238" s="74"/>
      <c r="N238" s="74"/>
      <c r="O238" s="59">
        <f t="shared" si="43"/>
        <v>63353</v>
      </c>
      <c r="P238" s="83"/>
      <c r="Q238" s="83"/>
    </row>
    <row r="239" spans="1:17" s="84" customFormat="1" ht="18" customHeight="1">
      <c r="A239" s="91" t="s">
        <v>449</v>
      </c>
      <c r="B239" s="139" t="s">
        <v>356</v>
      </c>
      <c r="C239" s="74">
        <f>12000+1400</f>
        <v>13400</v>
      </c>
      <c r="D239" s="74"/>
      <c r="E239" s="74"/>
      <c r="F239" s="62"/>
      <c r="G239" s="74"/>
      <c r="H239" s="74"/>
      <c r="I239" s="62"/>
      <c r="J239" s="62"/>
      <c r="K239" s="74"/>
      <c r="L239" s="62"/>
      <c r="M239" s="74"/>
      <c r="N239" s="74"/>
      <c r="O239" s="59">
        <f t="shared" si="43"/>
        <v>13400</v>
      </c>
      <c r="P239" s="83"/>
      <c r="Q239" s="83"/>
    </row>
    <row r="240" spans="1:17" s="84" customFormat="1" ht="18" customHeight="1">
      <c r="A240" s="91" t="s">
        <v>450</v>
      </c>
      <c r="B240" s="139" t="s">
        <v>596</v>
      </c>
      <c r="C240" s="74">
        <v>7000</v>
      </c>
      <c r="D240" s="74"/>
      <c r="E240" s="74"/>
      <c r="F240" s="62"/>
      <c r="G240" s="74"/>
      <c r="H240" s="74"/>
      <c r="I240" s="62"/>
      <c r="J240" s="62"/>
      <c r="K240" s="74"/>
      <c r="L240" s="62"/>
      <c r="M240" s="74"/>
      <c r="N240" s="74"/>
      <c r="O240" s="59">
        <f t="shared" si="43"/>
        <v>7000</v>
      </c>
      <c r="P240" s="83"/>
      <c r="Q240" s="83"/>
    </row>
    <row r="241" spans="1:17" s="84" customFormat="1" ht="28.5" customHeight="1">
      <c r="A241" s="91" t="s">
        <v>451</v>
      </c>
      <c r="B241" s="139" t="s">
        <v>357</v>
      </c>
      <c r="C241" s="74">
        <f>123100+7120</f>
        <v>130220</v>
      </c>
      <c r="D241" s="74">
        <f>120960+7000</f>
        <v>127960</v>
      </c>
      <c r="E241" s="74"/>
      <c r="F241" s="62"/>
      <c r="G241" s="74"/>
      <c r="H241" s="74"/>
      <c r="I241" s="62"/>
      <c r="J241" s="62"/>
      <c r="K241" s="74"/>
      <c r="L241" s="62"/>
      <c r="M241" s="74"/>
      <c r="N241" s="74"/>
      <c r="O241" s="59">
        <f t="shared" si="43"/>
        <v>130220</v>
      </c>
      <c r="P241" s="83"/>
      <c r="Q241" s="83"/>
    </row>
    <row r="242" spans="1:17" s="84" customFormat="1" ht="30" customHeight="1">
      <c r="A242" s="91" t="s">
        <v>452</v>
      </c>
      <c r="B242" s="140" t="s">
        <v>358</v>
      </c>
      <c r="C242" s="74">
        <f>163440+9670</f>
        <v>173110</v>
      </c>
      <c r="D242" s="74">
        <f>160590+9500</f>
        <v>170090</v>
      </c>
      <c r="E242" s="74"/>
      <c r="F242" s="62"/>
      <c r="G242" s="74"/>
      <c r="H242" s="74"/>
      <c r="I242" s="62"/>
      <c r="J242" s="62"/>
      <c r="K242" s="74"/>
      <c r="L242" s="62"/>
      <c r="M242" s="74"/>
      <c r="N242" s="74"/>
      <c r="O242" s="59">
        <f t="shared" si="43"/>
        <v>173110</v>
      </c>
      <c r="P242" s="83"/>
      <c r="Q242" s="83"/>
    </row>
    <row r="243" spans="1:17" s="84" customFormat="1" ht="29.25" customHeight="1">
      <c r="A243" s="91" t="s">
        <v>453</v>
      </c>
      <c r="B243" s="139" t="s">
        <v>359</v>
      </c>
      <c r="C243" s="74">
        <f>306400+5210</f>
        <v>311610</v>
      </c>
      <c r="D243" s="74">
        <f>293650+5100</f>
        <v>298750</v>
      </c>
      <c r="E243" s="74"/>
      <c r="F243" s="74">
        <v>12500</v>
      </c>
      <c r="G243" s="74">
        <v>12300</v>
      </c>
      <c r="H243" s="74"/>
      <c r="I243" s="62"/>
      <c r="J243" s="62"/>
      <c r="K243" s="74"/>
      <c r="L243" s="62"/>
      <c r="M243" s="74"/>
      <c r="N243" s="74"/>
      <c r="O243" s="59">
        <f t="shared" si="43"/>
        <v>324110</v>
      </c>
      <c r="P243" s="83"/>
      <c r="Q243" s="83"/>
    </row>
    <row r="244" spans="1:17" s="84" customFormat="1" ht="30" customHeight="1">
      <c r="A244" s="91" t="s">
        <v>454</v>
      </c>
      <c r="B244" s="139" t="s">
        <v>597</v>
      </c>
      <c r="C244" s="74">
        <v>71870</v>
      </c>
      <c r="D244" s="74">
        <v>25550</v>
      </c>
      <c r="E244" s="74"/>
      <c r="F244" s="62"/>
      <c r="G244" s="74"/>
      <c r="H244" s="74"/>
      <c r="I244" s="62"/>
      <c r="J244" s="62"/>
      <c r="K244" s="74"/>
      <c r="L244" s="62"/>
      <c r="M244" s="74"/>
      <c r="N244" s="74"/>
      <c r="O244" s="59">
        <f t="shared" si="43"/>
        <v>71870</v>
      </c>
      <c r="P244" s="83"/>
      <c r="Q244" s="83"/>
    </row>
    <row r="245" spans="1:17" s="84" customFormat="1" ht="29.25" customHeight="1">
      <c r="A245" s="91" t="s">
        <v>455</v>
      </c>
      <c r="B245" s="140" t="s">
        <v>360</v>
      </c>
      <c r="C245" s="74">
        <f>310620+5920</f>
        <v>316540</v>
      </c>
      <c r="D245" s="74">
        <f>305210+5800</f>
        <v>311010</v>
      </c>
      <c r="E245" s="74"/>
      <c r="F245" s="74">
        <v>12500</v>
      </c>
      <c r="G245" s="74">
        <v>12300</v>
      </c>
      <c r="H245" s="74"/>
      <c r="I245" s="62"/>
      <c r="J245" s="62"/>
      <c r="K245" s="74"/>
      <c r="L245" s="62"/>
      <c r="M245" s="74"/>
      <c r="N245" s="74"/>
      <c r="O245" s="59">
        <f t="shared" si="43"/>
        <v>329040</v>
      </c>
      <c r="P245" s="83"/>
      <c r="Q245" s="83"/>
    </row>
    <row r="246" spans="1:17" s="84" customFormat="1" ht="45.75" customHeight="1">
      <c r="A246" s="91" t="s">
        <v>508</v>
      </c>
      <c r="B246" s="139" t="s">
        <v>361</v>
      </c>
      <c r="C246" s="74">
        <f>41980+2030</f>
        <v>44010</v>
      </c>
      <c r="D246" s="74">
        <f>38180+2000</f>
        <v>40180</v>
      </c>
      <c r="E246" s="74"/>
      <c r="F246" s="62"/>
      <c r="G246" s="74"/>
      <c r="H246" s="74"/>
      <c r="I246" s="62"/>
      <c r="J246" s="62"/>
      <c r="K246" s="74"/>
      <c r="L246" s="62"/>
      <c r="M246" s="74"/>
      <c r="N246" s="74"/>
      <c r="O246" s="59">
        <f t="shared" si="43"/>
        <v>44010</v>
      </c>
      <c r="P246" s="83"/>
      <c r="Q246" s="83"/>
    </row>
    <row r="247" spans="1:17" s="84" customFormat="1" ht="31.5" customHeight="1">
      <c r="A247" s="91" t="s">
        <v>598</v>
      </c>
      <c r="B247" s="139" t="s">
        <v>362</v>
      </c>
      <c r="C247" s="74">
        <v>19000</v>
      </c>
      <c r="D247" s="74"/>
      <c r="E247" s="74"/>
      <c r="F247" s="62"/>
      <c r="G247" s="74"/>
      <c r="H247" s="74"/>
      <c r="I247" s="62"/>
      <c r="J247" s="62"/>
      <c r="K247" s="74"/>
      <c r="L247" s="62"/>
      <c r="M247" s="74"/>
      <c r="N247" s="74"/>
      <c r="O247" s="59">
        <f t="shared" si="43"/>
        <v>19000</v>
      </c>
      <c r="P247" s="83"/>
      <c r="Q247" s="83"/>
    </row>
    <row r="248" spans="1:21" s="84" customFormat="1" ht="28.5" customHeight="1">
      <c r="A248" s="91" t="s">
        <v>599</v>
      </c>
      <c r="B248" s="139" t="s">
        <v>477</v>
      </c>
      <c r="C248" s="74"/>
      <c r="D248" s="74"/>
      <c r="E248" s="74"/>
      <c r="F248" s="74">
        <v>22935</v>
      </c>
      <c r="G248" s="74"/>
      <c r="H248" s="74">
        <v>22935</v>
      </c>
      <c r="I248" s="62"/>
      <c r="J248" s="62"/>
      <c r="K248" s="74"/>
      <c r="L248" s="62"/>
      <c r="M248" s="74"/>
      <c r="N248" s="74"/>
      <c r="O248" s="59">
        <f t="shared" si="43"/>
        <v>22935</v>
      </c>
      <c r="Q248" s="93"/>
      <c r="T248" s="93"/>
      <c r="U248" s="93"/>
    </row>
    <row r="249" spans="1:17" s="84" customFormat="1" ht="29.25" customHeight="1">
      <c r="A249" s="91" t="s">
        <v>600</v>
      </c>
      <c r="B249" s="139" t="s">
        <v>363</v>
      </c>
      <c r="C249" s="74"/>
      <c r="D249" s="74"/>
      <c r="E249" s="74"/>
      <c r="F249" s="74">
        <v>2491</v>
      </c>
      <c r="G249" s="74"/>
      <c r="H249" s="74">
        <v>2491</v>
      </c>
      <c r="I249" s="62"/>
      <c r="J249" s="62"/>
      <c r="K249" s="74"/>
      <c r="L249" s="62"/>
      <c r="M249" s="74"/>
      <c r="N249" s="74"/>
      <c r="O249" s="59">
        <f t="shared" si="43"/>
        <v>2491</v>
      </c>
      <c r="P249" s="83"/>
      <c r="Q249" s="83"/>
    </row>
    <row r="250" spans="1:17" s="58" customFormat="1" ht="17.25" customHeight="1">
      <c r="A250" s="59" t="s">
        <v>407</v>
      </c>
      <c r="B250" s="61" t="s">
        <v>365</v>
      </c>
      <c r="C250" s="59">
        <v>203020</v>
      </c>
      <c r="D250" s="59">
        <v>194200</v>
      </c>
      <c r="E250" s="59"/>
      <c r="F250" s="59"/>
      <c r="G250" s="59"/>
      <c r="H250" s="59"/>
      <c r="I250" s="59"/>
      <c r="J250" s="59"/>
      <c r="K250" s="59"/>
      <c r="L250" s="59">
        <v>175000</v>
      </c>
      <c r="M250" s="59">
        <v>109350</v>
      </c>
      <c r="N250" s="59"/>
      <c r="O250" s="59">
        <f t="shared" si="43"/>
        <v>378020</v>
      </c>
      <c r="P250" s="57"/>
      <c r="Q250" s="57"/>
    </row>
    <row r="251" spans="1:17" s="58" customFormat="1" ht="16.5" customHeight="1">
      <c r="A251" s="59" t="s">
        <v>408</v>
      </c>
      <c r="B251" s="61" t="s">
        <v>366</v>
      </c>
      <c r="C251" s="59">
        <f>433885+10050</f>
        <v>443935</v>
      </c>
      <c r="D251" s="59">
        <f>339800+9900</f>
        <v>349700</v>
      </c>
      <c r="E251" s="59">
        <v>25000</v>
      </c>
      <c r="F251" s="199">
        <f>20240+5079</f>
        <v>25319</v>
      </c>
      <c r="G251" s="199">
        <f>20000+5079</f>
        <v>25079</v>
      </c>
      <c r="H251" s="59"/>
      <c r="I251" s="59"/>
      <c r="J251" s="59"/>
      <c r="K251" s="59"/>
      <c r="L251" s="59">
        <f>2300+166080</f>
        <v>168380</v>
      </c>
      <c r="M251" s="59">
        <v>163703</v>
      </c>
      <c r="N251" s="59"/>
      <c r="O251" s="59">
        <f t="shared" si="43"/>
        <v>637634</v>
      </c>
      <c r="P251" s="57"/>
      <c r="Q251" s="57"/>
    </row>
    <row r="252" spans="1:17" s="84" customFormat="1" ht="31.5" customHeight="1">
      <c r="A252" s="59" t="s">
        <v>339</v>
      </c>
      <c r="B252" s="61" t="s">
        <v>144</v>
      </c>
      <c r="C252" s="62">
        <f>SUM(C253)</f>
        <v>15000</v>
      </c>
      <c r="D252" s="74"/>
      <c r="E252" s="74"/>
      <c r="F252" s="62">
        <f>SUM(F253)</f>
        <v>207700</v>
      </c>
      <c r="G252" s="74"/>
      <c r="H252" s="74"/>
      <c r="I252" s="62"/>
      <c r="J252" s="62"/>
      <c r="K252" s="74"/>
      <c r="L252" s="62"/>
      <c r="M252" s="74"/>
      <c r="N252" s="74"/>
      <c r="O252" s="59">
        <f t="shared" si="43"/>
        <v>222700</v>
      </c>
      <c r="P252" s="83"/>
      <c r="Q252" s="83"/>
    </row>
    <row r="253" spans="1:17" s="80" customFormat="1" ht="16.5" customHeight="1">
      <c r="A253" s="69" t="s">
        <v>456</v>
      </c>
      <c r="B253" s="70" t="s">
        <v>367</v>
      </c>
      <c r="C253" s="74">
        <v>15000</v>
      </c>
      <c r="D253" s="70"/>
      <c r="E253" s="74"/>
      <c r="F253" s="74">
        <v>207700</v>
      </c>
      <c r="G253" s="74"/>
      <c r="H253" s="74"/>
      <c r="I253" s="70"/>
      <c r="J253" s="70"/>
      <c r="K253" s="70"/>
      <c r="L253" s="70"/>
      <c r="M253" s="70"/>
      <c r="N253" s="70"/>
      <c r="O253" s="59">
        <f t="shared" si="43"/>
        <v>222700</v>
      </c>
      <c r="P253" s="67"/>
      <c r="Q253" s="67"/>
    </row>
    <row r="254" spans="1:17" s="72" customFormat="1" ht="18" customHeight="1">
      <c r="A254" s="94"/>
      <c r="B254" s="95" t="s">
        <v>368</v>
      </c>
      <c r="C254" s="96">
        <f aca="true" t="shared" si="44" ref="C254:Q254">C14+C53+C59+C67+C104+C126+C159+C214</f>
        <v>22257295</v>
      </c>
      <c r="D254" s="96">
        <f t="shared" si="44"/>
        <v>12350155</v>
      </c>
      <c r="E254" s="96">
        <f t="shared" si="44"/>
        <v>1366742</v>
      </c>
      <c r="F254" s="96">
        <f t="shared" si="44"/>
        <v>4591802</v>
      </c>
      <c r="G254" s="96">
        <f t="shared" si="44"/>
        <v>1646999</v>
      </c>
      <c r="H254" s="96">
        <f t="shared" si="44"/>
        <v>188049</v>
      </c>
      <c r="I254" s="96">
        <f t="shared" si="44"/>
        <v>8420400</v>
      </c>
      <c r="J254" s="96">
        <f t="shared" si="44"/>
        <v>8093032</v>
      </c>
      <c r="K254" s="96">
        <f t="shared" si="44"/>
        <v>37539</v>
      </c>
      <c r="L254" s="96">
        <f t="shared" si="44"/>
        <v>1821594</v>
      </c>
      <c r="M254" s="96">
        <f t="shared" si="44"/>
        <v>313653</v>
      </c>
      <c r="N254" s="96">
        <f t="shared" si="44"/>
        <v>27425</v>
      </c>
      <c r="O254" s="96">
        <f t="shared" si="44"/>
        <v>37091091</v>
      </c>
      <c r="P254" s="96">
        <f t="shared" si="44"/>
        <v>738000</v>
      </c>
      <c r="Q254" s="94">
        <f t="shared" si="44"/>
        <v>37829091</v>
      </c>
    </row>
    <row r="255" spans="1:17" s="84" customFormat="1" ht="31.5" customHeight="1">
      <c r="A255" s="59" t="s">
        <v>364</v>
      </c>
      <c r="B255" s="61" t="s">
        <v>144</v>
      </c>
      <c r="C255" s="62">
        <f>SUM(C256)</f>
        <v>618000</v>
      </c>
      <c r="D255" s="74"/>
      <c r="E255" s="74"/>
      <c r="F255" s="62">
        <f>SUM(F256)</f>
        <v>0</v>
      </c>
      <c r="G255" s="74"/>
      <c r="H255" s="74"/>
      <c r="I255" s="62"/>
      <c r="J255" s="62"/>
      <c r="K255" s="74"/>
      <c r="L255" s="62"/>
      <c r="M255" s="74"/>
      <c r="N255" s="74"/>
      <c r="O255" s="59">
        <f>C255+F255+I255+L255</f>
        <v>618000</v>
      </c>
      <c r="P255" s="83"/>
      <c r="Q255" s="83"/>
    </row>
    <row r="256" spans="1:17" s="72" customFormat="1" ht="18" customHeight="1">
      <c r="A256" s="97" t="s">
        <v>409</v>
      </c>
      <c r="B256" s="70" t="s">
        <v>80</v>
      </c>
      <c r="C256" s="64">
        <v>618000</v>
      </c>
      <c r="D256" s="71"/>
      <c r="E256" s="64"/>
      <c r="F256" s="71"/>
      <c r="G256" s="71"/>
      <c r="H256" s="71"/>
      <c r="I256" s="71"/>
      <c r="J256" s="71"/>
      <c r="K256" s="71"/>
      <c r="L256" s="71"/>
      <c r="M256" s="71"/>
      <c r="N256" s="71"/>
      <c r="O256" s="59">
        <f>C256+F256+I256+L256</f>
        <v>618000</v>
      </c>
      <c r="P256" s="67"/>
      <c r="Q256" s="67"/>
    </row>
    <row r="257" spans="1:17" s="72" customFormat="1" ht="15" customHeight="1">
      <c r="A257" s="53"/>
      <c r="B257" s="76"/>
      <c r="C257" s="68"/>
      <c r="F257" s="68"/>
      <c r="I257" s="68"/>
      <c r="J257" s="68"/>
      <c r="L257" s="68"/>
      <c r="P257" s="67"/>
      <c r="Q257" s="67"/>
    </row>
    <row r="258" spans="1:17" s="5" customFormat="1" ht="15" customHeight="1">
      <c r="A258" s="8"/>
      <c r="B258" s="9"/>
      <c r="C258" s="10"/>
      <c r="F258" s="10"/>
      <c r="I258" s="10"/>
      <c r="J258" s="10"/>
      <c r="L258" s="10"/>
      <c r="P258" s="67"/>
      <c r="Q258" s="67"/>
    </row>
    <row r="259" spans="1:17" s="5" customFormat="1" ht="15" customHeight="1">
      <c r="A259" s="8"/>
      <c r="B259" s="9"/>
      <c r="C259" s="10"/>
      <c r="F259" s="10"/>
      <c r="I259" s="10"/>
      <c r="J259" s="10"/>
      <c r="L259" s="10"/>
      <c r="P259" s="67"/>
      <c r="Q259" s="67"/>
    </row>
    <row r="260" spans="1:17" s="5" customFormat="1" ht="15" customHeight="1">
      <c r="A260" s="8"/>
      <c r="B260" s="9"/>
      <c r="C260" s="10"/>
      <c r="F260" s="10"/>
      <c r="I260" s="10"/>
      <c r="J260" s="10"/>
      <c r="L260" s="10"/>
      <c r="P260" s="67"/>
      <c r="Q260" s="67"/>
    </row>
    <row r="261" spans="1:17" s="5" customFormat="1" ht="15" customHeight="1">
      <c r="A261" s="8"/>
      <c r="B261" s="9"/>
      <c r="C261" s="10"/>
      <c r="F261" s="10"/>
      <c r="I261" s="10"/>
      <c r="J261" s="10"/>
      <c r="L261" s="10"/>
      <c r="P261" s="67"/>
      <c r="Q261" s="67"/>
    </row>
    <row r="262" spans="1:17" s="5" customFormat="1" ht="15" customHeight="1">
      <c r="A262" s="8"/>
      <c r="B262" s="9"/>
      <c r="C262" s="10"/>
      <c r="F262" s="10"/>
      <c r="I262" s="10"/>
      <c r="J262" s="10"/>
      <c r="L262" s="10"/>
      <c r="P262" s="67"/>
      <c r="Q262" s="67"/>
    </row>
    <row r="263" spans="1:17" s="5" customFormat="1" ht="15" customHeight="1">
      <c r="A263" s="8"/>
      <c r="B263" s="9"/>
      <c r="C263" s="10"/>
      <c r="F263" s="10"/>
      <c r="I263" s="10"/>
      <c r="J263" s="10"/>
      <c r="L263" s="10"/>
      <c r="P263" s="67"/>
      <c r="Q263" s="67"/>
    </row>
    <row r="264" spans="1:17" s="5" customFormat="1" ht="15" customHeight="1">
      <c r="A264" s="8"/>
      <c r="B264" s="9"/>
      <c r="C264" s="10"/>
      <c r="F264" s="10"/>
      <c r="I264" s="10"/>
      <c r="J264" s="10"/>
      <c r="L264" s="10"/>
      <c r="P264" s="67"/>
      <c r="Q264" s="67"/>
    </row>
    <row r="265" spans="1:17" s="5" customFormat="1" ht="15" customHeight="1">
      <c r="A265" s="8"/>
      <c r="B265" s="9"/>
      <c r="C265" s="10"/>
      <c r="F265" s="10"/>
      <c r="I265" s="10"/>
      <c r="J265" s="10"/>
      <c r="L265" s="10"/>
      <c r="P265" s="67"/>
      <c r="Q265" s="67"/>
    </row>
    <row r="266" spans="1:17" s="5" customFormat="1" ht="15" customHeight="1">
      <c r="A266" s="8"/>
      <c r="B266" s="9"/>
      <c r="C266" s="10"/>
      <c r="F266" s="10"/>
      <c r="I266" s="10"/>
      <c r="J266" s="10"/>
      <c r="L266" s="10"/>
      <c r="P266" s="67"/>
      <c r="Q266" s="67"/>
    </row>
    <row r="267" spans="1:17" s="5" customFormat="1" ht="15" customHeight="1">
      <c r="A267" s="8"/>
      <c r="B267" s="9"/>
      <c r="C267" s="10"/>
      <c r="F267" s="10"/>
      <c r="I267" s="10"/>
      <c r="J267" s="10"/>
      <c r="L267" s="10"/>
      <c r="P267" s="67"/>
      <c r="Q267" s="67"/>
    </row>
    <row r="268" spans="1:17" s="5" customFormat="1" ht="15" customHeight="1">
      <c r="A268" s="8"/>
      <c r="B268" s="9"/>
      <c r="C268" s="10"/>
      <c r="F268" s="10"/>
      <c r="I268" s="10"/>
      <c r="J268" s="10"/>
      <c r="L268" s="10"/>
      <c r="P268" s="67"/>
      <c r="Q268" s="67"/>
    </row>
    <row r="269" spans="1:17" s="5" customFormat="1" ht="15" customHeight="1">
      <c r="A269" s="8"/>
      <c r="B269" s="9"/>
      <c r="C269" s="10"/>
      <c r="F269" s="10"/>
      <c r="I269" s="10"/>
      <c r="J269" s="10"/>
      <c r="L269" s="10"/>
      <c r="P269" s="67"/>
      <c r="Q269" s="67"/>
    </row>
    <row r="270" spans="1:17" s="5" customFormat="1" ht="15" customHeight="1">
      <c r="A270" s="8"/>
      <c r="B270" s="9"/>
      <c r="C270" s="10"/>
      <c r="F270" s="10"/>
      <c r="I270" s="10"/>
      <c r="J270" s="10"/>
      <c r="L270" s="10"/>
      <c r="P270" s="67"/>
      <c r="Q270" s="67"/>
    </row>
    <row r="271" spans="1:17" s="5" customFormat="1" ht="15" customHeight="1">
      <c r="A271" s="8"/>
      <c r="B271" s="9"/>
      <c r="C271" s="10"/>
      <c r="F271" s="10"/>
      <c r="I271" s="10"/>
      <c r="J271" s="10"/>
      <c r="L271" s="10"/>
      <c r="P271" s="67"/>
      <c r="Q271" s="67"/>
    </row>
    <row r="272" spans="1:17" s="5" customFormat="1" ht="15" customHeight="1">
      <c r="A272" s="8"/>
      <c r="B272" s="9"/>
      <c r="C272" s="10"/>
      <c r="F272" s="10"/>
      <c r="I272" s="10"/>
      <c r="J272" s="10"/>
      <c r="L272" s="10"/>
      <c r="P272" s="67"/>
      <c r="Q272" s="67"/>
    </row>
    <row r="273" spans="1:17" s="5" customFormat="1" ht="15" customHeight="1">
      <c r="A273" s="8"/>
      <c r="B273" s="9"/>
      <c r="C273" s="10"/>
      <c r="F273" s="10"/>
      <c r="I273" s="10"/>
      <c r="J273" s="10"/>
      <c r="L273" s="10"/>
      <c r="P273" s="67"/>
      <c r="Q273" s="67"/>
    </row>
    <row r="274" spans="1:17" s="5" customFormat="1" ht="15" customHeight="1">
      <c r="A274" s="8"/>
      <c r="B274" s="9"/>
      <c r="C274" s="10"/>
      <c r="F274" s="10"/>
      <c r="I274" s="10"/>
      <c r="J274" s="10"/>
      <c r="L274" s="10"/>
      <c r="P274" s="67"/>
      <c r="Q274" s="67"/>
    </row>
  </sheetData>
  <sheetProtection/>
  <mergeCells count="32">
    <mergeCell ref="A8:A11"/>
    <mergeCell ref="B8:B11"/>
    <mergeCell ref="C8:E8"/>
    <mergeCell ref="F8:H8"/>
    <mergeCell ref="I8:K8"/>
    <mergeCell ref="L8:N8"/>
    <mergeCell ref="F9:F11"/>
    <mergeCell ref="I9:I11"/>
    <mergeCell ref="B103:O103"/>
    <mergeCell ref="B125:O125"/>
    <mergeCell ref="B158:O158"/>
    <mergeCell ref="B213:O213"/>
    <mergeCell ref="E10:E11"/>
    <mergeCell ref="M10:M11"/>
    <mergeCell ref="C9:C11"/>
    <mergeCell ref="D9:E9"/>
    <mergeCell ref="J9:K9"/>
    <mergeCell ref="B58:O58"/>
    <mergeCell ref="B6:K6"/>
    <mergeCell ref="J10:J11"/>
    <mergeCell ref="K10:K11"/>
    <mergeCell ref="G10:G11"/>
    <mergeCell ref="H10:H11"/>
    <mergeCell ref="B52:O52"/>
    <mergeCell ref="B66:O66"/>
    <mergeCell ref="B13:O13"/>
    <mergeCell ref="N10:N11"/>
    <mergeCell ref="O8:O11"/>
    <mergeCell ref="M9:N9"/>
    <mergeCell ref="G9:H9"/>
    <mergeCell ref="L9:L11"/>
    <mergeCell ref="D10:D11"/>
  </mergeCells>
  <printOptions/>
  <pageMargins left="0.1968503937007874" right="0" top="0.7086614173228347" bottom="0.5118110236220472" header="0.31496062992125984" footer="0.31496062992125984"/>
  <pageSetup horizontalDpi="600" verticalDpi="600" orientation="landscape" paperSize="9" scale="8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B43" sqref="B43"/>
    </sheetView>
  </sheetViews>
  <sheetFormatPr defaultColWidth="9.140625" defaultRowHeight="15"/>
  <cols>
    <col min="1" max="1" width="8.28125" style="21" customWidth="1"/>
    <col min="2" max="2" width="65.7109375" style="2" customWidth="1"/>
    <col min="3" max="3" width="15.8515625" style="2" customWidth="1"/>
    <col min="4" max="4" width="3.7109375" style="2" customWidth="1"/>
    <col min="5" max="16384" width="9.140625" style="2" customWidth="1"/>
  </cols>
  <sheetData>
    <row r="1" spans="1:5" s="28" customFormat="1" ht="15.75">
      <c r="A1" s="112"/>
      <c r="B1" s="174" t="s">
        <v>509</v>
      </c>
      <c r="C1" s="174"/>
      <c r="D1" s="52"/>
      <c r="E1" s="52"/>
    </row>
    <row r="2" spans="1:5" s="28" customFormat="1" ht="15.75">
      <c r="A2" s="112"/>
      <c r="B2" s="174" t="s">
        <v>601</v>
      </c>
      <c r="C2" s="174"/>
      <c r="D2" s="52"/>
      <c r="E2" s="52"/>
    </row>
    <row r="3" spans="1:5" s="28" customFormat="1" ht="15.75">
      <c r="A3" s="112"/>
      <c r="B3" s="27" t="s">
        <v>602</v>
      </c>
      <c r="C3" s="29"/>
      <c r="D3" s="52"/>
      <c r="E3" s="52"/>
    </row>
    <row r="4" spans="1:5" s="28" customFormat="1" ht="15.75">
      <c r="A4" s="112"/>
      <c r="B4" s="29"/>
      <c r="C4" s="29"/>
      <c r="D4" s="52"/>
      <c r="E4" s="52"/>
    </row>
    <row r="5" spans="1:5" s="28" customFormat="1" ht="7.5" customHeight="1">
      <c r="A5" s="112"/>
      <c r="B5" s="29"/>
      <c r="C5" s="29"/>
      <c r="D5" s="52"/>
      <c r="E5" s="52"/>
    </row>
    <row r="6" spans="1:3" s="28" customFormat="1" ht="15.75">
      <c r="A6" s="175" t="s">
        <v>369</v>
      </c>
      <c r="B6" s="175"/>
      <c r="C6" s="175"/>
    </row>
    <row r="7" spans="1:3" s="28" customFormat="1" ht="15.75">
      <c r="A7" s="175" t="s">
        <v>370</v>
      </c>
      <c r="B7" s="175"/>
      <c r="C7" s="175"/>
    </row>
    <row r="8" s="28" customFormat="1" ht="14.25">
      <c r="A8" s="112"/>
    </row>
    <row r="9" s="28" customFormat="1" ht="14.25">
      <c r="A9" s="112"/>
    </row>
    <row r="10" spans="1:3" s="28" customFormat="1" ht="15" customHeight="1">
      <c r="A10" s="192" t="s">
        <v>1</v>
      </c>
      <c r="B10" s="192" t="s">
        <v>371</v>
      </c>
      <c r="C10" s="192" t="s">
        <v>372</v>
      </c>
    </row>
    <row r="11" spans="1:3" s="28" customFormat="1" ht="18.75" customHeight="1">
      <c r="A11" s="193"/>
      <c r="B11" s="193"/>
      <c r="C11" s="193"/>
    </row>
    <row r="12" spans="1:3" s="28" customFormat="1" ht="19.5" customHeight="1">
      <c r="A12" s="98" t="s">
        <v>4</v>
      </c>
      <c r="B12" s="99" t="s">
        <v>478</v>
      </c>
      <c r="C12" s="100">
        <v>192000</v>
      </c>
    </row>
    <row r="13" spans="1:3" s="28" customFormat="1" ht="17.25" customHeight="1">
      <c r="A13" s="98" t="s">
        <v>22</v>
      </c>
      <c r="B13" s="99" t="s">
        <v>603</v>
      </c>
      <c r="C13" s="100">
        <v>258000</v>
      </c>
    </row>
    <row r="14" spans="1:3" s="28" customFormat="1" ht="19.5" customHeight="1">
      <c r="A14" s="98" t="s">
        <v>42</v>
      </c>
      <c r="B14" s="99" t="s">
        <v>479</v>
      </c>
      <c r="C14" s="101">
        <v>22800</v>
      </c>
    </row>
    <row r="15" spans="1:3" s="28" customFormat="1" ht="19.5" customHeight="1">
      <c r="A15" s="98" t="s">
        <v>54</v>
      </c>
      <c r="B15" s="99" t="s">
        <v>480</v>
      </c>
      <c r="C15" s="101">
        <v>672400</v>
      </c>
    </row>
    <row r="16" spans="1:3" s="28" customFormat="1" ht="19.5" customHeight="1">
      <c r="A16" s="98" t="s">
        <v>56</v>
      </c>
      <c r="B16" s="102" t="s">
        <v>481</v>
      </c>
      <c r="C16" s="101">
        <v>5100</v>
      </c>
    </row>
    <row r="17" spans="1:3" s="28" customFormat="1" ht="19.5" customHeight="1">
      <c r="A17" s="98" t="s">
        <v>86</v>
      </c>
      <c r="B17" s="99" t="s">
        <v>482</v>
      </c>
      <c r="C17" s="101">
        <v>24900</v>
      </c>
    </row>
    <row r="18" spans="1:3" s="28" customFormat="1" ht="30.75" customHeight="1">
      <c r="A18" s="98" t="s">
        <v>90</v>
      </c>
      <c r="B18" s="99" t="s">
        <v>483</v>
      </c>
      <c r="C18" s="100">
        <v>300</v>
      </c>
    </row>
    <row r="19" spans="1:3" s="28" customFormat="1" ht="32.25" customHeight="1">
      <c r="A19" s="98" t="s">
        <v>177</v>
      </c>
      <c r="B19" s="99" t="s">
        <v>484</v>
      </c>
      <c r="C19" s="100">
        <v>400</v>
      </c>
    </row>
    <row r="20" spans="1:3" s="28" customFormat="1" ht="33" customHeight="1">
      <c r="A20" s="98" t="s">
        <v>202</v>
      </c>
      <c r="B20" s="99" t="s">
        <v>485</v>
      </c>
      <c r="C20" s="101">
        <v>3800</v>
      </c>
    </row>
    <row r="21" spans="1:3" s="28" customFormat="1" ht="19.5" customHeight="1">
      <c r="A21" s="98" t="s">
        <v>205</v>
      </c>
      <c r="B21" s="99" t="s">
        <v>486</v>
      </c>
      <c r="C21" s="101">
        <v>8500</v>
      </c>
    </row>
    <row r="22" spans="1:3" s="28" customFormat="1" ht="19.5" customHeight="1">
      <c r="A22" s="98" t="s">
        <v>217</v>
      </c>
      <c r="B22" s="99" t="s">
        <v>487</v>
      </c>
      <c r="C22" s="100">
        <v>25100</v>
      </c>
    </row>
    <row r="23" spans="1:3" s="28" customFormat="1" ht="30" customHeight="1">
      <c r="A23" s="98" t="s">
        <v>227</v>
      </c>
      <c r="B23" s="99" t="s">
        <v>488</v>
      </c>
      <c r="C23" s="101">
        <v>12100</v>
      </c>
    </row>
    <row r="24" spans="1:3" s="28" customFormat="1" ht="19.5" customHeight="1">
      <c r="A24" s="98" t="s">
        <v>374</v>
      </c>
      <c r="B24" s="99" t="s">
        <v>489</v>
      </c>
      <c r="C24" s="100">
        <v>171700</v>
      </c>
    </row>
    <row r="25" spans="1:3" s="28" customFormat="1" ht="18.75" customHeight="1">
      <c r="A25" s="98" t="s">
        <v>236</v>
      </c>
      <c r="B25" s="99" t="s">
        <v>490</v>
      </c>
      <c r="C25" s="100">
        <v>487800</v>
      </c>
    </row>
    <row r="26" spans="1:3" s="28" customFormat="1" ht="19.5" customHeight="1">
      <c r="A26" s="98" t="s">
        <v>238</v>
      </c>
      <c r="B26" s="99" t="s">
        <v>491</v>
      </c>
      <c r="C26" s="100">
        <v>869500</v>
      </c>
    </row>
    <row r="27" spans="1:3" s="28" customFormat="1" ht="19.5" customHeight="1">
      <c r="A27" s="98" t="s">
        <v>240</v>
      </c>
      <c r="B27" s="99" t="s">
        <v>492</v>
      </c>
      <c r="C27" s="100">
        <v>15300</v>
      </c>
    </row>
    <row r="28" spans="1:3" s="28" customFormat="1" ht="19.5" customHeight="1">
      <c r="A28" s="98" t="s">
        <v>242</v>
      </c>
      <c r="B28" s="103" t="s">
        <v>493</v>
      </c>
      <c r="C28" s="104">
        <v>207700</v>
      </c>
    </row>
    <row r="29" spans="1:3" s="28" customFormat="1" ht="19.5" customHeight="1">
      <c r="A29" s="98" t="s">
        <v>246</v>
      </c>
      <c r="B29" s="99" t="s">
        <v>494</v>
      </c>
      <c r="C29" s="100">
        <v>1800</v>
      </c>
    </row>
    <row r="30" spans="1:3" s="28" customFormat="1" ht="19.5" customHeight="1">
      <c r="A30" s="98" t="s">
        <v>244</v>
      </c>
      <c r="B30" s="99" t="s">
        <v>495</v>
      </c>
      <c r="C30" s="100">
        <v>2100</v>
      </c>
    </row>
    <row r="31" spans="1:3" s="28" customFormat="1" ht="20.25" customHeight="1">
      <c r="A31" s="98" t="s">
        <v>246</v>
      </c>
      <c r="B31" s="99" t="s">
        <v>496</v>
      </c>
      <c r="C31" s="100">
        <v>9454</v>
      </c>
    </row>
    <row r="32" spans="1:3" s="28" customFormat="1" ht="33.75" customHeight="1">
      <c r="A32" s="98" t="s">
        <v>248</v>
      </c>
      <c r="B32" s="99" t="s">
        <v>604</v>
      </c>
      <c r="C32" s="100">
        <v>116</v>
      </c>
    </row>
    <row r="33" spans="1:3" s="28" customFormat="1" ht="30.75" customHeight="1">
      <c r="A33" s="98" t="s">
        <v>250</v>
      </c>
      <c r="B33" s="105" t="s">
        <v>605</v>
      </c>
      <c r="C33" s="100">
        <f>161000+76600</f>
        <v>237600</v>
      </c>
    </row>
    <row r="34" spans="1:3" s="28" customFormat="1" ht="30" customHeight="1">
      <c r="A34" s="98" t="s">
        <v>255</v>
      </c>
      <c r="B34" s="99" t="s">
        <v>606</v>
      </c>
      <c r="C34" s="100">
        <v>49200</v>
      </c>
    </row>
    <row r="35" spans="1:3" s="28" customFormat="1" ht="19.5" customHeight="1">
      <c r="A35" s="98" t="s">
        <v>272</v>
      </c>
      <c r="B35" s="99" t="s">
        <v>497</v>
      </c>
      <c r="C35" s="100">
        <v>23776</v>
      </c>
    </row>
    <row r="36" spans="1:3" s="72" customFormat="1" ht="15.75">
      <c r="A36" s="106"/>
      <c r="B36" s="107" t="s">
        <v>375</v>
      </c>
      <c r="C36" s="108">
        <f>SUM(C12:C35)</f>
        <v>3301446</v>
      </c>
    </row>
    <row r="37" spans="1:3" s="54" customFormat="1" ht="15.75" hidden="1">
      <c r="A37" s="27"/>
      <c r="B37" s="79" t="s">
        <v>498</v>
      </c>
      <c r="C37" s="52">
        <f>C12+C14+C16+C17+C18+C19+C20+C21+C22+C23+C27+C30+C31+C32+C35+4100+16000+15000</f>
        <v>380846</v>
      </c>
    </row>
    <row r="38" spans="1:3" s="52" customFormat="1" ht="15.75" hidden="1">
      <c r="A38" s="27"/>
      <c r="B38" s="79" t="s">
        <v>499</v>
      </c>
      <c r="C38" s="52">
        <f>C15</f>
        <v>672400</v>
      </c>
    </row>
    <row r="39" spans="1:3" s="52" customFormat="1" ht="15.75" hidden="1">
      <c r="A39" s="27"/>
      <c r="B39" s="79" t="s">
        <v>373</v>
      </c>
      <c r="C39" s="52">
        <f>C13</f>
        <v>258000</v>
      </c>
    </row>
    <row r="40" spans="1:3" s="54" customFormat="1" ht="15.75" hidden="1">
      <c r="A40" s="27"/>
      <c r="B40" s="109" t="s">
        <v>500</v>
      </c>
      <c r="C40" s="52">
        <f>C33+C34</f>
        <v>286800</v>
      </c>
    </row>
    <row r="41" spans="1:3" s="52" customFormat="1" ht="15.75" hidden="1">
      <c r="A41" s="27"/>
      <c r="B41" s="109" t="s">
        <v>501</v>
      </c>
      <c r="C41" s="52">
        <f>C24+C25+C26+C28+C29-4100-16000-15000</f>
        <v>1703400</v>
      </c>
    </row>
    <row r="42" s="52" customFormat="1" ht="15.75">
      <c r="A42" s="27"/>
    </row>
    <row r="43" spans="1:2" s="52" customFormat="1" ht="15.75">
      <c r="A43" s="27"/>
      <c r="B43" s="27" t="s">
        <v>607</v>
      </c>
    </row>
    <row r="44" s="7" customFormat="1" ht="15.75">
      <c r="A44" s="172"/>
    </row>
    <row r="45" s="7" customFormat="1" ht="15.75">
      <c r="A45" s="172"/>
    </row>
    <row r="46" s="7" customFormat="1" ht="15.75">
      <c r="A46" s="172"/>
    </row>
    <row r="47" s="7" customFormat="1" ht="15.75">
      <c r="A47" s="172"/>
    </row>
    <row r="48" spans="1:2" s="25" customFormat="1" ht="15.75">
      <c r="A48" s="173"/>
      <c r="B48" s="7"/>
    </row>
    <row r="49" s="25" customFormat="1" ht="15">
      <c r="A49" s="173"/>
    </row>
    <row r="50" s="25" customFormat="1" ht="15">
      <c r="A50" s="173"/>
    </row>
  </sheetData>
  <sheetProtection/>
  <mergeCells count="7">
    <mergeCell ref="B1:C1"/>
    <mergeCell ref="B2:C2"/>
    <mergeCell ref="A6:C6"/>
    <mergeCell ref="A7:C7"/>
    <mergeCell ref="A10:A11"/>
    <mergeCell ref="B10:B11"/>
    <mergeCell ref="C10:C11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8.8515625" style="21" customWidth="1"/>
    <col min="2" max="2" width="65.00390625" style="2" customWidth="1"/>
    <col min="3" max="3" width="14.57421875" style="2" customWidth="1"/>
    <col min="4" max="4" width="3.421875" style="2" customWidth="1"/>
    <col min="5" max="16384" width="9.140625" style="2" customWidth="1"/>
  </cols>
  <sheetData>
    <row r="1" spans="1:5" s="28" customFormat="1" ht="15.75">
      <c r="A1" s="112"/>
      <c r="B1" s="174" t="s">
        <v>509</v>
      </c>
      <c r="C1" s="174"/>
      <c r="D1" s="52"/>
      <c r="E1" s="52"/>
    </row>
    <row r="2" spans="1:5" s="28" customFormat="1" ht="15.75">
      <c r="A2" s="112"/>
      <c r="B2" s="174" t="s">
        <v>608</v>
      </c>
      <c r="C2" s="174"/>
      <c r="D2" s="52"/>
      <c r="E2" s="52"/>
    </row>
    <row r="3" spans="1:5" s="28" customFormat="1" ht="15.75">
      <c r="A3" s="112"/>
      <c r="B3" s="27" t="s">
        <v>614</v>
      </c>
      <c r="C3" s="29"/>
      <c r="D3" s="52"/>
      <c r="E3" s="52"/>
    </row>
    <row r="4" spans="1:3" s="28" customFormat="1" ht="14.25">
      <c r="A4" s="112"/>
      <c r="B4" s="46"/>
      <c r="C4" s="46"/>
    </row>
    <row r="5" spans="1:3" s="28" customFormat="1" ht="14.25">
      <c r="A5" s="112"/>
      <c r="B5" s="46"/>
      <c r="C5" s="46"/>
    </row>
    <row r="6" spans="1:3" s="28" customFormat="1" ht="35.25" customHeight="1">
      <c r="A6" s="176" t="s">
        <v>376</v>
      </c>
      <c r="B6" s="176"/>
      <c r="C6" s="176"/>
    </row>
    <row r="7" spans="1:3" s="28" customFormat="1" ht="15.75">
      <c r="A7" s="175"/>
      <c r="B7" s="175"/>
      <c r="C7" s="175"/>
    </row>
    <row r="8" s="28" customFormat="1" ht="14.25">
      <c r="A8" s="112"/>
    </row>
    <row r="9" s="28" customFormat="1" ht="14.25">
      <c r="A9" s="112"/>
    </row>
    <row r="10" spans="1:3" ht="15" customHeight="1">
      <c r="A10" s="192" t="s">
        <v>1</v>
      </c>
      <c r="B10" s="192" t="s">
        <v>457</v>
      </c>
      <c r="C10" s="192" t="s">
        <v>377</v>
      </c>
    </row>
    <row r="11" spans="1:3" ht="18.75" customHeight="1">
      <c r="A11" s="193"/>
      <c r="B11" s="193"/>
      <c r="C11" s="193"/>
    </row>
    <row r="12" spans="1:3" ht="19.5" customHeight="1">
      <c r="A12" s="113" t="s">
        <v>4</v>
      </c>
      <c r="B12" s="103" t="s">
        <v>378</v>
      </c>
      <c r="C12" s="114">
        <f>C13</f>
        <v>120000</v>
      </c>
    </row>
    <row r="13" spans="1:3" ht="19.5" customHeight="1">
      <c r="A13" s="113" t="s">
        <v>5</v>
      </c>
      <c r="B13" s="103" t="s">
        <v>379</v>
      </c>
      <c r="C13" s="115">
        <v>120000</v>
      </c>
    </row>
    <row r="14" spans="1:3" ht="19.5" customHeight="1">
      <c r="A14" s="113" t="s">
        <v>22</v>
      </c>
      <c r="B14" s="103" t="s">
        <v>380</v>
      </c>
      <c r="C14" s="101">
        <f>C15</f>
        <v>618000</v>
      </c>
    </row>
    <row r="15" spans="1:3" ht="19.5" customHeight="1">
      <c r="A15" s="113" t="s">
        <v>24</v>
      </c>
      <c r="B15" s="103" t="s">
        <v>502</v>
      </c>
      <c r="C15" s="101">
        <v>618000</v>
      </c>
    </row>
    <row r="16" spans="1:3" s="22" customFormat="1" ht="20.25" customHeight="1">
      <c r="A16" s="106"/>
      <c r="B16" s="107" t="s">
        <v>103</v>
      </c>
      <c r="C16" s="108">
        <f>SUM(C12,C14)</f>
        <v>738000</v>
      </c>
    </row>
    <row r="17" spans="1:3" ht="15">
      <c r="A17" s="116"/>
      <c r="B17" s="72"/>
      <c r="C17" s="92"/>
    </row>
    <row r="18" spans="1:3" ht="12.75">
      <c r="A18" s="111"/>
      <c r="B18" s="28"/>
      <c r="C18" s="28"/>
    </row>
    <row r="19" spans="1:3" ht="12.75">
      <c r="A19" s="111"/>
      <c r="B19" s="111" t="s">
        <v>381</v>
      </c>
      <c r="C19" s="28"/>
    </row>
    <row r="20" spans="1:3" ht="12.75">
      <c r="A20" s="111"/>
      <c r="B20" s="28"/>
      <c r="C20" s="28"/>
    </row>
    <row r="21" spans="1:3" ht="12.75">
      <c r="A21" s="111"/>
      <c r="B21" s="28"/>
      <c r="C21" s="28"/>
    </row>
    <row r="22" spans="1:3" ht="12.75">
      <c r="A22" s="111"/>
      <c r="B22" s="28"/>
      <c r="C22" s="28"/>
    </row>
    <row r="23" spans="1:3" ht="12.75">
      <c r="A23" s="111"/>
      <c r="B23" s="28"/>
      <c r="C23" s="28"/>
    </row>
    <row r="24" spans="1:3" ht="12.75">
      <c r="A24" s="111"/>
      <c r="B24" s="28"/>
      <c r="C24" s="28"/>
    </row>
    <row r="25" spans="1:3" ht="12.75">
      <c r="A25" s="111"/>
      <c r="B25" s="28"/>
      <c r="C25" s="28"/>
    </row>
    <row r="26" spans="1:3" ht="12.75">
      <c r="A26" s="111"/>
      <c r="B26" s="28"/>
      <c r="C26" s="28"/>
    </row>
    <row r="27" spans="1:3" ht="12.75">
      <c r="A27" s="111"/>
      <c r="B27" s="28"/>
      <c r="C27" s="28"/>
    </row>
  </sheetData>
  <sheetProtection/>
  <mergeCells count="7">
    <mergeCell ref="B1:C1"/>
    <mergeCell ref="B2:C2"/>
    <mergeCell ref="A6:C6"/>
    <mergeCell ref="A7:C7"/>
    <mergeCell ref="A10:A11"/>
    <mergeCell ref="B10:B11"/>
    <mergeCell ref="C10:C11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6">
      <selection activeCell="I12" sqref="I12"/>
    </sheetView>
  </sheetViews>
  <sheetFormatPr defaultColWidth="9.140625" defaultRowHeight="15"/>
  <cols>
    <col min="1" max="1" width="8.140625" style="2" customWidth="1"/>
    <col min="2" max="2" width="66.57421875" style="2" customWidth="1"/>
    <col min="3" max="3" width="14.57421875" style="2" customWidth="1"/>
    <col min="4" max="4" width="3.00390625" style="2" customWidth="1"/>
    <col min="5" max="16384" width="9.140625" style="2" customWidth="1"/>
  </cols>
  <sheetData>
    <row r="1" spans="1:5" s="28" customFormat="1" ht="15.75">
      <c r="A1" s="26"/>
      <c r="B1" s="174" t="s">
        <v>509</v>
      </c>
      <c r="C1" s="174"/>
      <c r="D1" s="52"/>
      <c r="E1" s="52"/>
    </row>
    <row r="2" spans="1:5" s="28" customFormat="1" ht="15.75">
      <c r="A2" s="26"/>
      <c r="B2" s="174" t="s">
        <v>608</v>
      </c>
      <c r="C2" s="174"/>
      <c r="D2" s="52"/>
      <c r="E2" s="52"/>
    </row>
    <row r="3" spans="1:5" s="28" customFormat="1" ht="15.75">
      <c r="A3" s="26"/>
      <c r="B3" s="27" t="s">
        <v>382</v>
      </c>
      <c r="C3" s="29"/>
      <c r="D3" s="52"/>
      <c r="E3" s="52"/>
    </row>
    <row r="4" spans="1:5" s="28" customFormat="1" ht="15.75">
      <c r="A4" s="26"/>
      <c r="B4" s="29"/>
      <c r="C4" s="29"/>
      <c r="D4" s="52"/>
      <c r="E4" s="52"/>
    </row>
    <row r="5" spans="1:3" s="28" customFormat="1" ht="14.25">
      <c r="A5" s="26"/>
      <c r="B5" s="46"/>
      <c r="C5" s="46"/>
    </row>
    <row r="6" spans="1:3" s="28" customFormat="1" ht="15.75">
      <c r="A6" s="175" t="s">
        <v>615</v>
      </c>
      <c r="B6" s="175"/>
      <c r="C6" s="175"/>
    </row>
    <row r="7" spans="1:3" s="28" customFormat="1" ht="15.75">
      <c r="A7" s="175" t="s">
        <v>383</v>
      </c>
      <c r="B7" s="175"/>
      <c r="C7" s="175"/>
    </row>
    <row r="8" s="28" customFormat="1" ht="14.25">
      <c r="A8" s="26"/>
    </row>
    <row r="9" s="28" customFormat="1" ht="14.25">
      <c r="A9" s="26"/>
    </row>
    <row r="10" spans="1:3" s="28" customFormat="1" ht="15" customHeight="1">
      <c r="A10" s="192" t="s">
        <v>1</v>
      </c>
      <c r="B10" s="192" t="s">
        <v>384</v>
      </c>
      <c r="C10" s="192" t="s">
        <v>377</v>
      </c>
    </row>
    <row r="11" spans="1:3" s="28" customFormat="1" ht="18.75" customHeight="1">
      <c r="A11" s="193"/>
      <c r="B11" s="193"/>
      <c r="C11" s="193"/>
    </row>
    <row r="12" spans="1:3" s="40" customFormat="1" ht="18.75" customHeight="1">
      <c r="A12" s="117" t="s">
        <v>4</v>
      </c>
      <c r="B12" s="118" t="s">
        <v>385</v>
      </c>
      <c r="C12" s="119">
        <f>SUM(C13:C18,C22:C26)</f>
        <v>365027</v>
      </c>
    </row>
    <row r="13" spans="1:3" s="28" customFormat="1" ht="18.75" customHeight="1">
      <c r="A13" s="120" t="s">
        <v>5</v>
      </c>
      <c r="B13" s="121" t="s">
        <v>609</v>
      </c>
      <c r="C13" s="38">
        <v>63</v>
      </c>
    </row>
    <row r="14" spans="1:3" s="28" customFormat="1" ht="18.75" customHeight="1">
      <c r="A14" s="120" t="s">
        <v>7</v>
      </c>
      <c r="B14" s="121" t="s">
        <v>503</v>
      </c>
      <c r="C14" s="38">
        <v>68</v>
      </c>
    </row>
    <row r="15" spans="1:3" s="28" customFormat="1" ht="18.75" customHeight="1">
      <c r="A15" s="120" t="s">
        <v>9</v>
      </c>
      <c r="B15" s="121" t="s">
        <v>386</v>
      </c>
      <c r="C15" s="38">
        <v>699</v>
      </c>
    </row>
    <row r="16" spans="1:3" s="28" customFormat="1" ht="18.75" customHeight="1">
      <c r="A16" s="120" t="s">
        <v>11</v>
      </c>
      <c r="B16" s="121" t="s">
        <v>387</v>
      </c>
      <c r="C16" s="38">
        <v>1193</v>
      </c>
    </row>
    <row r="17" spans="1:3" s="28" customFormat="1" ht="18.75" customHeight="1">
      <c r="A17" s="120" t="s">
        <v>13</v>
      </c>
      <c r="B17" s="121" t="s">
        <v>388</v>
      </c>
      <c r="C17" s="38">
        <v>66761</v>
      </c>
    </row>
    <row r="18" spans="1:3" s="28" customFormat="1" ht="18.75" customHeight="1">
      <c r="A18" s="122" t="s">
        <v>458</v>
      </c>
      <c r="B18" s="121" t="s">
        <v>389</v>
      </c>
      <c r="C18" s="38">
        <f>SUM(C19:C21)</f>
        <v>26293</v>
      </c>
    </row>
    <row r="19" spans="1:3" s="28" customFormat="1" ht="18.75" customHeight="1">
      <c r="A19" s="122" t="s">
        <v>459</v>
      </c>
      <c r="B19" s="121" t="s">
        <v>390</v>
      </c>
      <c r="C19" s="38">
        <v>9822</v>
      </c>
    </row>
    <row r="20" spans="1:3" s="28" customFormat="1" ht="18.75" customHeight="1">
      <c r="A20" s="122" t="s">
        <v>460</v>
      </c>
      <c r="B20" s="121" t="s">
        <v>391</v>
      </c>
      <c r="C20" s="38">
        <v>16432</v>
      </c>
    </row>
    <row r="21" spans="1:3" s="28" customFormat="1" ht="18.75" customHeight="1">
      <c r="A21" s="120" t="s">
        <v>14</v>
      </c>
      <c r="B21" s="121" t="s">
        <v>392</v>
      </c>
      <c r="C21" s="38">
        <v>39</v>
      </c>
    </row>
    <row r="22" spans="1:3" s="28" customFormat="1" ht="18.75" customHeight="1">
      <c r="A22" s="120" t="s">
        <v>16</v>
      </c>
      <c r="B22" s="121" t="s">
        <v>393</v>
      </c>
      <c r="C22" s="38">
        <v>2658</v>
      </c>
    </row>
    <row r="23" spans="1:3" s="28" customFormat="1" ht="18.75" customHeight="1">
      <c r="A23" s="120" t="s">
        <v>18</v>
      </c>
      <c r="B23" s="121" t="s">
        <v>394</v>
      </c>
      <c r="C23" s="38">
        <v>12957</v>
      </c>
    </row>
    <row r="24" spans="1:3" s="28" customFormat="1" ht="18.75" customHeight="1">
      <c r="A24" s="120" t="s">
        <v>20</v>
      </c>
      <c r="B24" s="121" t="s">
        <v>395</v>
      </c>
      <c r="C24" s="38">
        <v>136619</v>
      </c>
    </row>
    <row r="25" spans="1:3" s="28" customFormat="1" ht="18.75" customHeight="1">
      <c r="A25" s="120" t="s">
        <v>610</v>
      </c>
      <c r="B25" s="121" t="s">
        <v>461</v>
      </c>
      <c r="C25" s="38">
        <v>25800</v>
      </c>
    </row>
    <row r="26" spans="1:3" s="28" customFormat="1" ht="18.75" customHeight="1">
      <c r="A26" s="120" t="s">
        <v>611</v>
      </c>
      <c r="B26" s="121" t="s">
        <v>612</v>
      </c>
      <c r="C26" s="38">
        <v>91916</v>
      </c>
    </row>
    <row r="27" spans="1:3" s="92" customFormat="1" ht="30.75" customHeight="1">
      <c r="A27" s="113" t="s">
        <v>22</v>
      </c>
      <c r="B27" s="103" t="s">
        <v>396</v>
      </c>
      <c r="C27" s="35">
        <v>562423</v>
      </c>
    </row>
    <row r="28" spans="1:3" s="92" customFormat="1" ht="35.25" customHeight="1">
      <c r="A28" s="113" t="s">
        <v>42</v>
      </c>
      <c r="B28" s="103" t="s">
        <v>465</v>
      </c>
      <c r="C28" s="35">
        <v>80000</v>
      </c>
    </row>
    <row r="29" spans="1:3" s="92" customFormat="1" ht="32.25" customHeight="1">
      <c r="A29" s="113" t="s">
        <v>54</v>
      </c>
      <c r="B29" s="103" t="s">
        <v>462</v>
      </c>
      <c r="C29" s="35">
        <v>27701</v>
      </c>
    </row>
    <row r="30" spans="1:3" s="92" customFormat="1" ht="21" customHeight="1">
      <c r="A30" s="113" t="s">
        <v>56</v>
      </c>
      <c r="B30" s="103" t="s">
        <v>397</v>
      </c>
      <c r="C30" s="35">
        <f>1135567-335567</f>
        <v>800000</v>
      </c>
    </row>
    <row r="31" spans="1:3" s="92" customFormat="1" ht="30.75" customHeight="1">
      <c r="A31" s="113" t="s">
        <v>86</v>
      </c>
      <c r="B31" s="103" t="s">
        <v>613</v>
      </c>
      <c r="C31" s="35">
        <f>335567</f>
        <v>335567</v>
      </c>
    </row>
    <row r="32" spans="1:3" s="92" customFormat="1" ht="30.75" customHeight="1">
      <c r="A32" s="113" t="s">
        <v>90</v>
      </c>
      <c r="B32" s="103" t="s">
        <v>398</v>
      </c>
      <c r="C32" s="35">
        <v>297039</v>
      </c>
    </row>
    <row r="33" spans="1:3" s="92" customFormat="1" ht="24" customHeight="1">
      <c r="A33" s="113" t="s">
        <v>177</v>
      </c>
      <c r="B33" s="103" t="s">
        <v>399</v>
      </c>
      <c r="C33" s="35">
        <v>68815</v>
      </c>
    </row>
    <row r="34" spans="1:3" s="92" customFormat="1" ht="23.25" customHeight="1">
      <c r="A34" s="113"/>
      <c r="B34" s="107" t="s">
        <v>375</v>
      </c>
      <c r="C34" s="107">
        <f>SUM(C12,C27:C33)</f>
        <v>2536572</v>
      </c>
    </row>
    <row r="35" spans="1:2" s="92" customFormat="1" ht="20.25" customHeight="1">
      <c r="A35" s="72"/>
      <c r="B35" s="72"/>
    </row>
    <row r="36" spans="1:3" s="92" customFormat="1" ht="16.5" hidden="1" thickBot="1">
      <c r="A36" s="72"/>
      <c r="B36" s="67" t="s">
        <v>504</v>
      </c>
      <c r="C36" s="123">
        <f>C34-C32-C33</f>
        <v>2170718</v>
      </c>
    </row>
    <row r="37" s="72" customFormat="1" ht="15">
      <c r="B37" s="72" t="s">
        <v>400</v>
      </c>
    </row>
    <row r="38" s="72" customFormat="1" ht="15"/>
    <row r="39" s="72" customFormat="1" ht="15"/>
    <row r="40" s="5" customFormat="1" ht="15"/>
    <row r="41" s="5" customFormat="1" ht="15"/>
    <row r="42" s="4" customFormat="1" ht="15.75"/>
    <row r="43" s="7" customFormat="1" ht="15.75"/>
    <row r="44" s="7" customFormat="1" ht="15.75"/>
    <row r="45" s="4" customFormat="1" ht="15.75">
      <c r="B45" s="23"/>
    </row>
    <row r="46" s="7" customFormat="1" ht="15.75">
      <c r="B46" s="24"/>
    </row>
    <row r="47" s="7" customFormat="1" ht="15.75"/>
    <row r="48" s="7" customFormat="1" ht="15.75"/>
    <row r="49" s="7" customFormat="1" ht="15.75"/>
    <row r="50" s="7" customFormat="1" ht="15.75"/>
    <row r="51" s="7" customFormat="1" ht="15.75"/>
    <row r="52" s="7" customFormat="1" ht="15.75"/>
    <row r="53" s="25" customFormat="1" ht="15.75">
      <c r="B53" s="7"/>
    </row>
    <row r="54" s="25" customFormat="1" ht="15"/>
    <row r="55" s="25" customFormat="1" ht="15"/>
  </sheetData>
  <sheetProtection/>
  <mergeCells count="7">
    <mergeCell ref="C10:C11"/>
    <mergeCell ref="B1:C1"/>
    <mergeCell ref="B2:C2"/>
    <mergeCell ref="A7:C7"/>
    <mergeCell ref="A6:C6"/>
    <mergeCell ref="A10:A11"/>
    <mergeCell ref="B10:B11"/>
  </mergeCells>
  <printOptions/>
  <pageMargins left="0.7086614173228346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astoskiene</dc:creator>
  <cp:keywords/>
  <dc:description/>
  <cp:lastModifiedBy>Audrone Stoskiene</cp:lastModifiedBy>
  <cp:lastPrinted>2022-02-23T07:58:27Z</cp:lastPrinted>
  <dcterms:created xsi:type="dcterms:W3CDTF">2015-08-04T05:33:16Z</dcterms:created>
  <dcterms:modified xsi:type="dcterms:W3CDTF">2022-02-23T08:02:32Z</dcterms:modified>
  <cp:category/>
  <cp:version/>
  <cp:contentType/>
  <cp:contentStatus/>
</cp:coreProperties>
</file>