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 priedas" sheetId="1" r:id="rId1"/>
    <sheet name="2  priedas" sheetId="2" r:id="rId2"/>
    <sheet name="3  priedas" sheetId="3" r:id="rId3"/>
  </sheets>
  <definedNames>
    <definedName name="_xlnm.Print_Titles" localSheetId="0">'1  priedas'!$10:$10</definedName>
    <definedName name="_xlnm.Print_Titles" localSheetId="1">'2  priedas'!$10:$10</definedName>
    <definedName name="_xlnm.Print_Titles" localSheetId="2">'3 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D18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160800 savvivalda
83000 tarybos nariai </t>
        </r>
      </text>
    </comment>
    <comment ref="L2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60000 pervedama Jurbarko r. PSPC</t>
        </r>
      </text>
    </comment>
    <comment ref="L10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su likuciu 2018-12-31</t>
        </r>
      </text>
    </comment>
    <comment ref="E131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L13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7000 islaikymas</t>
        </r>
      </text>
    </comment>
    <comment ref="C164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mityba 1500
</t>
        </r>
      </text>
    </comment>
    <comment ref="C166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mityba 60000</t>
        </r>
      </text>
    </comment>
    <comment ref="C17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1700 mityba</t>
        </r>
      </text>
    </comment>
    <comment ref="C17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76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2000 mityba</t>
        </r>
      </text>
    </comment>
    <comment ref="C17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1500 mityba</t>
        </r>
      </text>
    </comment>
    <comment ref="C18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1300 mityba</t>
        </r>
      </text>
    </comment>
    <comment ref="C185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900 mityba</t>
        </r>
      </text>
    </comment>
    <comment ref="C18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7000 mityba</t>
        </r>
      </text>
    </comment>
    <comment ref="C191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5000 mityba</t>
        </r>
      </text>
    </comment>
    <comment ref="C19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C238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7225 tarybos suteiktos lengvatos
2775 lengvatos pagal pajamas</t>
        </r>
      </text>
    </comment>
    <comment ref="C240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30000 Evangeliku seimos centro projektui finansuoti
18000 projektams
800 pagalbos pinigai, nes nera galimybes teikti paslauga</t>
        </r>
      </text>
    </comment>
  </commentList>
</comments>
</file>

<file path=xl/sharedStrings.xml><?xml version="1.0" encoding="utf-8"?>
<sst xmlns="http://schemas.openxmlformats.org/spreadsheetml/2006/main" count="677" uniqueCount="556">
  <si>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</si>
  <si>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</si>
  <si>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</si>
  <si>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</si>
  <si>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</si>
  <si>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</si>
  <si>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</si>
  <si>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</si>
  <si>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</si>
  <si>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</si>
  <si>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</si>
  <si>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</si>
  <si>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</si>
  <si>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</si>
  <si>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</si>
  <si>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</si>
  <si>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</si>
  <si>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</si>
  <si>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</si>
  <si>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</si>
  <si>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</si>
  <si>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</si>
  <si>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</si>
  <si>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</si>
  <si>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</si>
  <si>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</si>
  <si>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</si>
  <si>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</si>
  <si>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</si>
  <si>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</si>
  <si>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</si>
  <si>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</si>
  <si>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</si>
  <si>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</si>
  <si>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</si>
  <si>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</si>
  <si>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</si>
  <si>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</si>
  <si>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</si>
  <si>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</si>
  <si>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</si>
  <si>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</si>
  <si>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</si>
  <si>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</si>
  <si>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</si>
  <si>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</si>
  <si>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</si>
  <si>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</si>
  <si>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</si>
  <si>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</si>
  <si>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</si>
  <si>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</si>
  <si>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</si>
  <si>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</si>
  <si>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</si>
  <si>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</si>
  <si>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</si>
  <si>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</si>
  <si>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</si>
  <si>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</si>
  <si>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</si>
  <si>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</si>
  <si>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</si>
  <si>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</si>
  <si>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</si>
  <si>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</si>
  <si>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</si>
  <si>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</si>
  <si>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</si>
  <si>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</si>
  <si>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</si>
  <si>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</si>
  <si>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</si>
  <si>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</si>
  <si>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</si>
  <si>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</si>
  <si>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</si>
  <si>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</si>
  <si>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</si>
  <si>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</si>
  <si>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</si>
  <si>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</si>
  <si>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</si>
  <si>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</si>
  <si>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</si>
  <si>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</si>
  <si>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</si>
  <si>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</si>
  <si>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</si>
  <si>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</si>
  <si>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</si>
  <si>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</si>
  <si>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</si>
  <si>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</si>
  <si>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</si>
  <si>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</si>
  <si>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</si>
  <si>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</si>
  <si>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</si>
  <si>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</si>
  <si>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</si>
  <si>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</si>
  <si>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</si>
  <si>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</si>
  <si>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</si>
  <si>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</si>
  <si>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</si>
  <si>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</si>
  <si>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</si>
  <si>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</si>
  <si>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</si>
  <si>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</si>
  <si>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</si>
  <si>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</si>
  <si>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</si>
  <si>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</si>
  <si>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</si>
  <si>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</si>
  <si>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</si>
  <si>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</si>
  <si>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</si>
  <si>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</si>
  <si>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</si>
  <si>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</si>
  <si>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</si>
  <si>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</si>
  <si>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</si>
  <si>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</si>
  <si>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</si>
  <si>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</si>
  <si>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</si>
  <si>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</si>
  <si>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</si>
  <si>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</si>
  <si>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</si>
  <si>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</si>
  <si>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</si>
  <si>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</si>
  <si>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</si>
  <si>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</si>
  <si>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</si>
  <si>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</si>
  <si>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</si>
  <si>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</si>
  <si>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</si>
  <si>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</si>
  <si>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</si>
  <si>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</si>
  <si>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</si>
  <si>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</si>
  <si>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</si>
  <si>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</si>
  <si>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</si>
  <si>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</si>
  <si>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</si>
  <si>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</si>
  <si>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</si>
  <si>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</si>
  <si>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</si>
  <si>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</si>
  <si>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</si>
  <si>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</si>
  <si>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</si>
  <si>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</si>
  <si>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</si>
  <si>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</si>
  <si>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</si>
  <si>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</si>
  <si>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</si>
  <si>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</si>
  <si>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</si>
  <si>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</si>
  <si>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</si>
  <si>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</si>
  <si>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</si>
  <si>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</si>
  <si>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</si>
  <si>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</si>
  <si>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</si>
  <si>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</si>
  <si>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</si>
  <si>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</si>
  <si>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</si>
  <si>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</si>
  <si>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</si>
  <si>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</si>
  <si>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</si>
  <si>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</si>
  <si>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</si>
  <si>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</si>
  <si>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</si>
  <si>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</si>
  <si>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</si>
  <si>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</si>
  <si>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</si>
  <si>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</si>
  <si>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</si>
  <si>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</si>
  <si>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kompensacijoms už buitinių atliekų šalinimą</t>
  </si>
  <si>
    <t>civilinei saugai administruoti</t>
  </si>
  <si>
    <t>Turizmo ir verslo informacijos centro veiklos plėtrai</t>
  </si>
  <si>
    <t>švietimo įstaigų ilgalaikiam turtui įsigyti</t>
  </si>
  <si>
    <t>3 priedas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</si>
  <si>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</si>
  <si>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</si>
  <si>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</si>
  <si>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</si>
  <si>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8.12.</t>
  </si>
  <si>
    <t xml:space="preserve">13. </t>
  </si>
  <si>
    <t>Jurbarko rajono savivaldybės visuomenės sveikatos biurui</t>
  </si>
  <si>
    <t>nevyriausybinėms organizacijoms remti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</si>
  <si>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</si>
  <si>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</si>
  <si>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</si>
  <si>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</si>
  <si>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</si>
  <si>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</si>
  <si>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</si>
  <si>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</si>
  <si>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11.4.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</si>
  <si>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</si>
  <si>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</si>
  <si>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</si>
  <si>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</si>
  <si>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</si>
  <si>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</si>
  <si>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</si>
  <si>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</si>
  <si>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</si>
  <si>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</si>
  <si>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</si>
  <si>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</si>
  <si>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</si>
  <si>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</si>
  <si>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</si>
  <si>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</si>
  <si>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</si>
  <si>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</si>
  <si>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</si>
  <si>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</si>
  <si>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</si>
  <si>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</si>
  <si>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</si>
  <si>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</si>
  <si>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</si>
  <si>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</si>
  <si>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programoms, skirtoms etninės kultūros sklaidai, vykdyti</t>
  </si>
  <si>
    <t>nekilnojamųjų kultūros vertybių apskaitai, kultūros paveldo objektų tvarkybai, renginiams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</si>
  <si>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</si>
  <si>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</si>
  <si>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</si>
  <si>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</si>
  <si>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</si>
  <si>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</si>
  <si>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</si>
  <si>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</si>
  <si>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</si>
  <si>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</si>
  <si>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</si>
  <si>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</si>
  <si>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</si>
  <si>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</si>
  <si>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</si>
  <si>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</si>
  <si>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</si>
  <si>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</si>
  <si>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</si>
  <si>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</si>
  <si>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</si>
  <si>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</si>
  <si>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</si>
  <si>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</si>
  <si>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</si>
  <si>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</si>
  <si>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</si>
  <si>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</si>
  <si>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</si>
  <si>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</si>
  <si>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43.5.</t>
  </si>
  <si>
    <t>neformaliajam vaikų švietimui finansuoti</t>
  </si>
  <si>
    <t>švietimo įstaigų sporto bazėms remontuoti</t>
  </si>
  <si>
    <t>48.1.</t>
  </si>
  <si>
    <t>pagalba vaikams patekusiems į krizinę situaciją    VšĮ Jurbarko ligoninėje</t>
  </si>
  <si>
    <t>parama vaikus globojančioms šeimoms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</si>
  <si>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</si>
  <si>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</si>
  <si>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</si>
  <si>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</si>
  <si>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</si>
  <si>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</si>
  <si>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</si>
  <si>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</si>
  <si>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</si>
  <si>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</si>
  <si>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</si>
  <si>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</si>
  <si>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</si>
  <si>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</si>
  <si>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</si>
  <si>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</si>
  <si>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</si>
  <si>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</si>
  <si>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</si>
  <si>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</si>
  <si>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</si>
  <si>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</si>
  <si>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</si>
  <si>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</si>
  <si>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</si>
  <si>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</si>
  <si>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</si>
  <si>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</si>
  <si>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</si>
  <si>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</si>
  <si>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</si>
  <si>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</si>
  <si>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</si>
  <si>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</si>
  <si>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</si>
  <si>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</si>
  <si>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</si>
  <si>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</si>
  <si>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</si>
  <si>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</si>
  <si>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</si>
  <si>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</si>
  <si>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</si>
  <si>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</si>
  <si>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</si>
  <si>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</si>
  <si>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</si>
  <si>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</si>
  <si>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</si>
  <si>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</si>
  <si>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</si>
  <si>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</si>
  <si>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</si>
  <si>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</si>
  <si>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</si>
  <si>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</si>
  <si>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</si>
  <si>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</si>
  <si>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</si>
  <si>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>____________________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</si>
  <si>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</si>
  <si>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</si>
  <si>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</si>
  <si>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</si>
  <si>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</si>
  <si>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</si>
  <si>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</si>
  <si>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</si>
  <si>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</si>
  <si>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</si>
  <si>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</si>
  <si>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</si>
  <si>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</si>
  <si>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</si>
  <si>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</si>
  <si>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</si>
  <si>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</si>
  <si>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</si>
  <si>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</si>
  <si>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</si>
  <si>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</si>
  <si>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</si>
  <si>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</si>
  <si>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</si>
  <si>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</si>
  <si>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</si>
  <si>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</si>
  <si>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</si>
  <si>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</si>
  <si>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</si>
  <si>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</si>
  <si>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</si>
  <si>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</si>
  <si>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</si>
  <si>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</si>
  <si>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</si>
  <si>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</si>
  <si>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</si>
  <si>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</si>
  <si>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</si>
  <si>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</si>
  <si>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</si>
  <si>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</si>
  <si>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</si>
  <si>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</si>
  <si>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</si>
  <si>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</si>
  <si>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</si>
  <si>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</si>
  <si>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</si>
  <si>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kultūros ir sporto įstaigoms remontuoti, ilgalaikio turto įsigijimo išlaidoms</t>
  </si>
  <si>
    <t>43.6.</t>
  </si>
  <si>
    <t>socialinio būsto fondo plėtrai, būstų įsigijimo išlaidoms</t>
  </si>
  <si>
    <t>socialinių paslaugų šeimoms ir neįgaliesiems plėtrai</t>
  </si>
  <si>
    <t>projektui „Socialinio būsto plėtra Jurbarko rajono savivaldybėje“ finansuoti</t>
  </si>
  <si>
    <t>užimtumo programai vykdyti</t>
  </si>
  <si>
    <t xml:space="preserve">                                       2019 m. vasario 28 d. sprendimo Nr. T2-42</t>
  </si>
  <si>
    <t>JURBARKO RAJONO SAVIVALDYBĖS 2019 M. BIUDŽETO PAJAMOS</t>
  </si>
  <si>
    <t>Mokesčiai, pajamos ir rinkliavos, nurodyti 2019 metų valstybės biudžeto ir savivaldybių biudžetų finansinių rodiklių patvirtinimo įstatyme, iš jų:</t>
  </si>
  <si>
    <t>Mokymo lėšoms finansuoti</t>
  </si>
  <si>
    <t>Tikslinės lėšos neformaliojo švietimo pedagogams</t>
  </si>
  <si>
    <t>Tikslinės lėšos Jurbarko kultūros centro pastatui modernizuoti</t>
  </si>
  <si>
    <t>Tikslinės lėšos Jurbarko ligoninei medicinos aparatūrai įsigyti</t>
  </si>
  <si>
    <t>3.9.</t>
  </si>
  <si>
    <t>3.10.</t>
  </si>
  <si>
    <t>3.11.</t>
  </si>
  <si>
    <t>Tikslinė dotacija tekstilės atliekų ir pakuočių atliekų surinkimo priemonėms (konteineriams) įsigyti</t>
  </si>
  <si>
    <t>3.12.</t>
  </si>
  <si>
    <t>2018 12 31 biudžeto lėšų likučiai, nukreipiami į savivaldybės biudžetą, iš jų:</t>
  </si>
  <si>
    <t>Tikslinė dotacija privatiems namams prijungti prie nuotekų infrastruktūros</t>
  </si>
  <si>
    <t>5.5.</t>
  </si>
  <si>
    <t>5.6.</t>
  </si>
  <si>
    <t>socialinės paramos plėtrai, socialinei atskirčiai mažinti</t>
  </si>
  <si>
    <t>Valstybės biudžeto lėšos mokymo reikmėms finansuoti, iš jų:</t>
  </si>
  <si>
    <t>Projektams vykdyti iš skolintų lėšų, iš jų:</t>
  </si>
  <si>
    <t>5.1</t>
  </si>
  <si>
    <t>2019 m. vasario 28 d. sprendimo Nr. T2-42</t>
  </si>
  <si>
    <t>JURBARKO RAJONO SAVIVALDYBĖS 2019 METŲ BIUDŽETAS</t>
  </si>
  <si>
    <t>jaunimo teisių apsaugai</t>
  </si>
  <si>
    <t>tarpinstitucinio bendradarbiavimo koordinatoriaus pareigybei išlaikyti</t>
  </si>
  <si>
    <t>2.24.</t>
  </si>
  <si>
    <t>6.6.</t>
  </si>
  <si>
    <t>projektui „Savivaldybes jungiančių turizmo trasų ir turizmo maršrutų infrastruktūros plėtra Jurbarko regione“ finansuoti</t>
  </si>
  <si>
    <t>6.7.</t>
  </si>
  <si>
    <t>projektui „Nemuno kelias“ finansuoti</t>
  </si>
  <si>
    <t>investicijoms į šilumos ūkio modernizavimą Viešvilėje grąžinti (2019 m. dalis)</t>
  </si>
  <si>
    <t>sanitarinėms patalpoms įrengti viešosiose vietose</t>
  </si>
  <si>
    <t>7.16.</t>
  </si>
  <si>
    <t>projektui „A. Giedraičio-Giedriaus gatvės rekonstravimas Jurbarko mieste“ finansuoti</t>
  </si>
  <si>
    <t>7.17.</t>
  </si>
  <si>
    <t>7.18.</t>
  </si>
  <si>
    <t>7.19.</t>
  </si>
  <si>
    <t>7.20.</t>
  </si>
  <si>
    <t>vietinėms reikšmės keliams (gatvėms) tiesti, rekons-truoti, taisyti (remontuoti), prižiūrėti ir saugaus eismo sąlygoms užtikrinti pagal savivaldybės Tarybos 2019-04-25 sprendimą Nr.T2-138 ir tikslinis finansavimas</t>
  </si>
  <si>
    <t>7.21.</t>
  </si>
  <si>
    <t>dotacija tekstilės atliekų surinkimo priemonėms (konteineriams) įsigyti</t>
  </si>
  <si>
    <t>7.22.</t>
  </si>
  <si>
    <t>dotacija pakuočių atliekų surinkimo priemonėms (konteineriams) įsigyti</t>
  </si>
  <si>
    <t>Jurbarko miesto seniūnijai</t>
  </si>
  <si>
    <t>teismo medicinos ekspertizės patalpoms remontuoti (dalinis finansavimas)</t>
  </si>
  <si>
    <t>11.5.</t>
  </si>
  <si>
    <t>11.6.</t>
  </si>
  <si>
    <t>13.3.</t>
  </si>
  <si>
    <t>savižudybių prevencinėms programoms</t>
  </si>
  <si>
    <t>21.1.</t>
  </si>
  <si>
    <t>21.2.</t>
  </si>
  <si>
    <t>21.3.</t>
  </si>
  <si>
    <t>22.1.</t>
  </si>
  <si>
    <t>22.2.</t>
  </si>
  <si>
    <t>22.3.</t>
  </si>
  <si>
    <t>22.4.</t>
  </si>
  <si>
    <t>22.5.</t>
  </si>
  <si>
    <t>religinėms bendruomenėms remti, iš jų: 20000 Eur Jurbarko evangelikų liuteronų parapijai (vargonams)</t>
  </si>
  <si>
    <t>22.6.</t>
  </si>
  <si>
    <t>22.7.</t>
  </si>
  <si>
    <t>22.8.</t>
  </si>
  <si>
    <t>savivaldybės biudžete nenumatytoms išlaidoms finansuoti</t>
  </si>
  <si>
    <t>22.9.</t>
  </si>
  <si>
    <t>sporto klubų veiklos programoms iš dalies finansuoti</t>
  </si>
  <si>
    <t>22.10.</t>
  </si>
  <si>
    <t>aukštų rezultatų pasiekusiems sportininkams, treneriams skatinti</t>
  </si>
  <si>
    <t>22.11.</t>
  </si>
  <si>
    <t>aukštų rezultatų pasiekusiems kultūros darbuotojams, kolektyvams skatinti</t>
  </si>
  <si>
    <t>22.12.</t>
  </si>
  <si>
    <t>projektui „Mažosios Lietuvos Jurbarko krašto kultūros centro aktualizavimas“ finansuoti</t>
  </si>
  <si>
    <t>Jurbarko Naujamiesčio progimnazijai</t>
  </si>
  <si>
    <t>Jurbarko Vytauto Didžiojo progimnazijai</t>
  </si>
  <si>
    <t>31.1.</t>
  </si>
  <si>
    <t>31.2.</t>
  </si>
  <si>
    <t>36.1.</t>
  </si>
  <si>
    <t>36.2.</t>
  </si>
  <si>
    <t>41.1.</t>
  </si>
  <si>
    <t>41.2.</t>
  </si>
  <si>
    <t>41.3.</t>
  </si>
  <si>
    <t>41.4.</t>
  </si>
  <si>
    <t>41.5.</t>
  </si>
  <si>
    <t>41.6.</t>
  </si>
  <si>
    <t>projektui „Ikimokyklinio ir priešmokyklinio ugdymo patalpų įrengimas Eržvilko gimnazijoje“ finansuoti</t>
  </si>
  <si>
    <t>41.7.</t>
  </si>
  <si>
    <t>projektui „Ikimokyklinio ir priešmokyklinio ugdymo prieinamumo didinimas Rotulių lopšelyje-darželyje“ finansuoti</t>
  </si>
  <si>
    <t>41.8.</t>
  </si>
  <si>
    <t>projektui „Jurbarko Antano Sodeikos meno mokyklos atnaujinimas ir pritaikymas neformaliajam ugdymui“ finansuoti</t>
  </si>
  <si>
    <t>41.9.</t>
  </si>
  <si>
    <t>42.1.</t>
  </si>
  <si>
    <t>42.2.</t>
  </si>
  <si>
    <t>42.3.</t>
  </si>
  <si>
    <t>42.4.</t>
  </si>
  <si>
    <t>42.5.</t>
  </si>
  <si>
    <t>42.6.</t>
  </si>
  <si>
    <t>42.7.</t>
  </si>
  <si>
    <t>43.7.</t>
  </si>
  <si>
    <t>43.8.</t>
  </si>
  <si>
    <t>43.9.</t>
  </si>
  <si>
    <t>43.10.</t>
  </si>
  <si>
    <t>atvejo vadybai, seniūnijų socialiniams darbuotojams darbui su šeimomis, patiriančiomis riziką,  išlaikyti</t>
  </si>
  <si>
    <t>43.11.</t>
  </si>
  <si>
    <t>pagal teisės aktus savivaldybėms perduotoms įstaigoms išlaikyti</t>
  </si>
  <si>
    <t>43.12.</t>
  </si>
  <si>
    <t>43.13.</t>
  </si>
  <si>
    <t>aprūpinti nepasiturinčius rajono gyventojus maisto produktais ir higienos prekėmis iš ES pagalbos labiausiai skurstantiems asmenims fondo</t>
  </si>
  <si>
    <t>43,14.</t>
  </si>
  <si>
    <t>43.15.</t>
  </si>
  <si>
    <t>43.16.</t>
  </si>
  <si>
    <t>43.17.</t>
  </si>
  <si>
    <t>43.18.</t>
  </si>
  <si>
    <t>43.19.</t>
  </si>
  <si>
    <t>43.20.</t>
  </si>
  <si>
    <t>43.21.</t>
  </si>
  <si>
    <t>43.22.</t>
  </si>
  <si>
    <t>43.23.</t>
  </si>
  <si>
    <t>43.24.</t>
  </si>
  <si>
    <t>43.25.</t>
  </si>
  <si>
    <t>Dienos socialinės globos paslaugoms asmenims su proto negalia (VšĮ „Jurbarko socialinės paslaugos“)</t>
  </si>
  <si>
    <t>43.26.</t>
  </si>
  <si>
    <t>ilgalaikės socialinės globos paslaugoms asmenims su proto negalia (VšĮ „Jurbarko socialinės paslaugos“)</t>
  </si>
  <si>
    <t>43.27.</t>
  </si>
  <si>
    <t>43.28.</t>
  </si>
  <si>
    <t>43.29.</t>
  </si>
  <si>
    <t>43.30.</t>
  </si>
  <si>
    <t>43.31.</t>
  </si>
  <si>
    <t>43.32.</t>
  </si>
  <si>
    <t>vaikų Dienos centrų paslaugoms (Lietuvos samariečių Jurbarko krašto bendrija ir evangelikų liuteronų diakonija „Jurbarko sandora“)</t>
  </si>
  <si>
    <t>43.33</t>
  </si>
  <si>
    <t>projektui „Socialinių paslaugų įstaigos modernizavimas ir paslaugų plėtra Jurbarko rajone“ finansuoti</t>
  </si>
  <si>
    <t>43.34</t>
  </si>
  <si>
    <t>projektui „Kompleksinės paslaugos šeimai Jurbarko rajono savivaldybėje“ finansuoti</t>
  </si>
  <si>
    <t>43.35.</t>
  </si>
  <si>
    <t>Skalvijos namams</t>
  </si>
  <si>
    <t>46.1.</t>
  </si>
  <si>
    <t>projektui „Vandens gerinimo įrenginių ir vandens gręžinių įrengimas Paskynų, Graužėnų ir Klangių kaimuose“ finansuoti</t>
  </si>
  <si>
    <t>projektui „Vandens gerinimo įrenginių ir vandens gręžinių įrengimas Griaužų kaime ir vandens tiekimo tinklų įrengimas Stakių miestelyje“ finansuoti</t>
  </si>
  <si>
    <t>projektui „Vandens gerinimo įrenginių ir vandens gręžinių įrengimas Belvederio, Pieštvėnų ir Tamošių kaimuose“ finansuoti</t>
  </si>
  <si>
    <t>Tikslinės lėšos tarpinstitucinio bendradarbiavimo koordinatoriaus pareigybei išlaikyti</t>
  </si>
  <si>
    <t>JURBARKO RAJONO SAVIVALDYBĖS 2019 M. BIUDŽETO IŠLAIDOS PAGAL PROGRAMAS</t>
  </si>
  <si>
    <t>Mokymo reikmių lėšos/ kelių priežiūros ir plėtros programos lėšos</t>
  </si>
  <si>
    <t>programa, skirta valstybei priklausančių ir liūčių pažeistų melioracijos statinių infrastruktūrai atkurti</t>
  </si>
  <si>
    <t>7.23.</t>
  </si>
  <si>
    <t>projektui „Gatvių, šaligatvių ir pėsčiųjų takų įrengimas Jurbarkų ir Šimkaičių seniūnijų kaimuose“  finansuoti</t>
  </si>
  <si>
    <t>suaugusiųjų ir jaunimo sportui aktyvinti, iš jų prioritetas – Jurbarko krepšinio komandos dalyvavimas regionų krepšinio lygoje (10000 Eur)</t>
  </si>
  <si>
    <t>ministerijai grąžinamos lėšos Naujamiesčio progimnazijos sporto aikštynui atnaujinti</t>
  </si>
  <si>
    <t>3.13.</t>
  </si>
  <si>
    <t>Tikslinės lėšos švietimo įstaigų modernizavimo programai</t>
  </si>
  <si>
    <t>švietimo įstaigų modernizavimo programa</t>
  </si>
  <si>
    <t xml:space="preserve">                                                             (2019 m. lapkričio 28 d. sprendimo Nr. T2-</t>
  </si>
  <si>
    <t xml:space="preserve">                                                             (2019 m. lapkri2io 28 d. sprendimo Nr. T2-</t>
  </si>
  <si>
    <r>
      <t xml:space="preserve">_________________________                                      </t>
    </r>
    <r>
      <rPr>
        <sz val="12"/>
        <rFont val="Times New Roman"/>
        <family val="1"/>
      </rPr>
      <t xml:space="preserve"> </t>
    </r>
  </si>
  <si>
    <t>(2019 m. lapkričio 28 d. sprendimo Nr. T2- redakcija)</t>
  </si>
  <si>
    <t>Jurbarko A. Giedraičio-Giedriaus, Nemuno ir kitoms gatvėms rekonstruoti būtinoms, bet projektų nekompensuojamoms išlaidoms dengti</t>
  </si>
  <si>
    <t>7.24.</t>
  </si>
  <si>
    <t>projektui „Pėsčiųjų ir dviračių tako įrengimas Jurbarko miesto Barkūnų gatvėje“  finansuoti</t>
  </si>
  <si>
    <t>pacientų aptarnavimo kokybei gerinti VšĮ Jurbarko ligoninėje (medicininei aparatūrai, vaikų ligų skyriui iš dalies finansuoti, vandentiekio ir kanalizacijos tink-lams remontuoti, kraujo komponentams apmokėti)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</si>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</sst>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[$-427]yyyy\ &quot;m.&quot;\ mmmm\ d\ &quot;d.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.5"/>
      <name val="Times New Roman"/>
      <family val="1"/>
    </font>
    <font>
      <b/>
      <sz val="10.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16" fontId="11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1" fontId="9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40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0" borderId="11" xfId="0" applyFont="1" applyBorder="1" applyAlignment="1">
      <alignment horizontal="right"/>
    </xf>
    <xf numFmtId="0" fontId="41" fillId="0" borderId="10" xfId="0" applyFont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00390625" style="21" customWidth="1"/>
    <col min="2" max="2" width="73.8515625" style="17" customWidth="1"/>
    <col min="3" max="3" width="13.8515625" style="17" customWidth="1"/>
    <col min="4" max="4" width="2.7109375" style="17" customWidth="1"/>
    <col min="5" max="16384" width="9.140625" style="17" customWidth="1"/>
  </cols>
  <sheetData>
    <row r="1" spans="2:3" ht="15.75">
      <c r="B1" s="110" t="s">
        <v>303</v>
      </c>
      <c r="C1" s="110"/>
    </row>
    <row r="2" spans="2:3" ht="15.75">
      <c r="B2" s="110" t="s">
        <v>400</v>
      </c>
      <c r="C2" s="110"/>
    </row>
    <row r="3" spans="1:3" ht="15.75">
      <c r="A3" s="25"/>
      <c r="B3" s="19" t="s">
        <v>547</v>
      </c>
      <c r="C3" s="19"/>
    </row>
    <row r="4" spans="1:3" ht="15.75">
      <c r="A4" s="25"/>
      <c r="B4" s="19" t="s">
        <v>304</v>
      </c>
      <c r="C4" s="19"/>
    </row>
    <row r="5" spans="2:3" ht="15.75">
      <c r="B5" s="19" t="s">
        <v>305</v>
      </c>
      <c r="C5" s="20"/>
    </row>
    <row r="6" spans="2:3" ht="15.75">
      <c r="B6" s="20"/>
      <c r="C6" s="20"/>
    </row>
    <row r="7" spans="2:3" ht="14.25">
      <c r="B7" s="97"/>
      <c r="C7" s="97"/>
    </row>
    <row r="8" spans="1:3" ht="15.75">
      <c r="A8" s="111" t="s">
        <v>401</v>
      </c>
      <c r="B8" s="111"/>
      <c r="C8" s="111"/>
    </row>
    <row r="9" ht="9" customHeight="1"/>
    <row r="10" spans="1:3" ht="28.5" customHeight="1">
      <c r="A10" s="22" t="s">
        <v>54</v>
      </c>
      <c r="B10" s="22" t="s">
        <v>55</v>
      </c>
      <c r="C10" s="22" t="s">
        <v>306</v>
      </c>
    </row>
    <row r="11" spans="1:3" ht="33" customHeight="1">
      <c r="A11" s="22" t="s">
        <v>67</v>
      </c>
      <c r="B11" s="27" t="s">
        <v>402</v>
      </c>
      <c r="C11" s="28">
        <f>SUM(C12:C20)</f>
        <v>15465000</v>
      </c>
    </row>
    <row r="12" spans="1:3" ht="17.25" customHeight="1">
      <c r="A12" s="29" t="s">
        <v>307</v>
      </c>
      <c r="B12" s="30" t="s">
        <v>308</v>
      </c>
      <c r="C12" s="31">
        <f>14485000+228000</f>
        <v>14713000</v>
      </c>
    </row>
    <row r="13" spans="1:3" ht="17.25" customHeight="1">
      <c r="A13" s="29" t="s">
        <v>309</v>
      </c>
      <c r="B13" s="30" t="s">
        <v>310</v>
      </c>
      <c r="C13" s="31">
        <v>350000</v>
      </c>
    </row>
    <row r="14" spans="1:3" ht="17.25" customHeight="1">
      <c r="A14" s="29" t="s">
        <v>311</v>
      </c>
      <c r="B14" s="30" t="s">
        <v>312</v>
      </c>
      <c r="C14" s="31">
        <v>197000</v>
      </c>
    </row>
    <row r="15" spans="1:3" ht="17.25" customHeight="1">
      <c r="A15" s="29" t="s">
        <v>313</v>
      </c>
      <c r="B15" s="30" t="s">
        <v>361</v>
      </c>
      <c r="C15" s="31">
        <v>18000</v>
      </c>
    </row>
    <row r="16" spans="1:3" ht="17.25" customHeight="1">
      <c r="A16" s="29" t="s">
        <v>314</v>
      </c>
      <c r="B16" s="30" t="s">
        <v>315</v>
      </c>
      <c r="C16" s="31">
        <v>30000</v>
      </c>
    </row>
    <row r="17" spans="1:3" ht="30" customHeight="1">
      <c r="A17" s="29" t="s">
        <v>316</v>
      </c>
      <c r="B17" s="30" t="s">
        <v>317</v>
      </c>
      <c r="C17" s="31">
        <v>100000</v>
      </c>
    </row>
    <row r="18" spans="1:3" ht="17.25" customHeight="1">
      <c r="A18" s="29" t="s">
        <v>318</v>
      </c>
      <c r="B18" s="30" t="s">
        <v>319</v>
      </c>
      <c r="C18" s="32">
        <v>35000</v>
      </c>
    </row>
    <row r="19" spans="1:3" ht="17.25" customHeight="1">
      <c r="A19" s="29" t="s">
        <v>320</v>
      </c>
      <c r="B19" s="33" t="s">
        <v>362</v>
      </c>
      <c r="C19" s="34">
        <v>17000</v>
      </c>
    </row>
    <row r="20" spans="1:3" ht="17.25" customHeight="1">
      <c r="A20" s="29" t="s">
        <v>321</v>
      </c>
      <c r="B20" s="30" t="s">
        <v>322</v>
      </c>
      <c r="C20" s="31">
        <v>5000</v>
      </c>
    </row>
    <row r="21" spans="1:3" ht="17.25" customHeight="1">
      <c r="A21" s="22" t="s">
        <v>66</v>
      </c>
      <c r="B21" s="27" t="s">
        <v>323</v>
      </c>
      <c r="C21" s="28">
        <f>SUM(C22:C30)</f>
        <v>1531671</v>
      </c>
    </row>
    <row r="22" spans="1:3" ht="17.25" customHeight="1">
      <c r="A22" s="29" t="s">
        <v>60</v>
      </c>
      <c r="B22" s="30" t="s">
        <v>324</v>
      </c>
      <c r="C22" s="31">
        <v>700000</v>
      </c>
    </row>
    <row r="23" spans="1:3" ht="17.25" customHeight="1">
      <c r="A23" s="29" t="s">
        <v>61</v>
      </c>
      <c r="B23" s="30" t="s">
        <v>325</v>
      </c>
      <c r="C23" s="32">
        <v>7000</v>
      </c>
    </row>
    <row r="24" spans="1:3" ht="17.25" customHeight="1">
      <c r="A24" s="29" t="s">
        <v>62</v>
      </c>
      <c r="B24" s="30" t="s">
        <v>326</v>
      </c>
      <c r="C24" s="31">
        <v>40000</v>
      </c>
    </row>
    <row r="25" spans="1:3" ht="17.25" customHeight="1">
      <c r="A25" s="29" t="s">
        <v>63</v>
      </c>
      <c r="B25" s="30" t="s">
        <v>327</v>
      </c>
      <c r="C25" s="31">
        <v>25000</v>
      </c>
    </row>
    <row r="26" spans="1:3" ht="17.25" customHeight="1">
      <c r="A26" s="29" t="s">
        <v>64</v>
      </c>
      <c r="B26" s="30" t="s">
        <v>328</v>
      </c>
      <c r="C26" s="31">
        <v>25000</v>
      </c>
    </row>
    <row r="27" spans="1:3" ht="17.25" customHeight="1">
      <c r="A27" s="29" t="s">
        <v>65</v>
      </c>
      <c r="B27" s="30" t="s">
        <v>329</v>
      </c>
      <c r="C27" s="31">
        <v>25000</v>
      </c>
    </row>
    <row r="28" spans="1:3" ht="17.25" customHeight="1">
      <c r="A28" s="29" t="s">
        <v>80</v>
      </c>
      <c r="B28" s="30" t="s">
        <v>363</v>
      </c>
      <c r="C28" s="31">
        <f>211851+570</f>
        <v>212421</v>
      </c>
    </row>
    <row r="29" spans="1:3" ht="17.25" customHeight="1">
      <c r="A29" s="29" t="s">
        <v>81</v>
      </c>
      <c r="B29" s="30" t="s">
        <v>364</v>
      </c>
      <c r="C29" s="31">
        <f>106370+2500</f>
        <v>108870</v>
      </c>
    </row>
    <row r="30" spans="1:3" ht="17.25" customHeight="1">
      <c r="A30" s="29" t="s">
        <v>82</v>
      </c>
      <c r="B30" s="127" t="s">
        <v>330</v>
      </c>
      <c r="C30" s="31">
        <f>377880+2500+8000</f>
        <v>388380</v>
      </c>
    </row>
    <row r="31" spans="1:3" ht="17.25" customHeight="1">
      <c r="A31" s="22" t="s">
        <v>68</v>
      </c>
      <c r="B31" s="27" t="s">
        <v>365</v>
      </c>
      <c r="C31" s="28">
        <f>SUM(C32:C44)</f>
        <v>12818737</v>
      </c>
    </row>
    <row r="32" spans="1:3" ht="17.25" customHeight="1">
      <c r="A32" s="29" t="s">
        <v>85</v>
      </c>
      <c r="B32" s="30" t="s">
        <v>331</v>
      </c>
      <c r="C32" s="31">
        <f>2311419-11800-35000+11700-693</f>
        <v>2275626</v>
      </c>
    </row>
    <row r="33" spans="1:3" ht="17.25" customHeight="1">
      <c r="A33" s="29" t="s">
        <v>332</v>
      </c>
      <c r="B33" s="30" t="s">
        <v>403</v>
      </c>
      <c r="C33" s="31">
        <f>6077900+71900</f>
        <v>6149800</v>
      </c>
    </row>
    <row r="34" spans="1:3" ht="17.25" customHeight="1">
      <c r="A34" s="29" t="s">
        <v>333</v>
      </c>
      <c r="B34" s="30" t="s">
        <v>335</v>
      </c>
      <c r="C34" s="31">
        <v>12800</v>
      </c>
    </row>
    <row r="35" spans="1:3" ht="17.25" customHeight="1">
      <c r="A35" s="29" t="s">
        <v>334</v>
      </c>
      <c r="B35" s="30" t="s">
        <v>404</v>
      </c>
      <c r="C35" s="31">
        <f>15900+3400</f>
        <v>19300</v>
      </c>
    </row>
    <row r="36" spans="1:3" ht="31.5" customHeight="1">
      <c r="A36" s="29" t="s">
        <v>336</v>
      </c>
      <c r="B36" s="30" t="s">
        <v>366</v>
      </c>
      <c r="C36" s="31">
        <f>18148</f>
        <v>18148</v>
      </c>
    </row>
    <row r="37" spans="1:3" ht="17.25" customHeight="1">
      <c r="A37" s="29" t="s">
        <v>337</v>
      </c>
      <c r="B37" s="30" t="s">
        <v>405</v>
      </c>
      <c r="C37" s="31">
        <f>522000-484000</f>
        <v>38000</v>
      </c>
    </row>
    <row r="38" spans="1:3" ht="17.25" customHeight="1">
      <c r="A38" s="29" t="s">
        <v>338</v>
      </c>
      <c r="B38" s="30" t="s">
        <v>406</v>
      </c>
      <c r="C38" s="31">
        <v>200000</v>
      </c>
    </row>
    <row r="39" spans="1:3" s="16" customFormat="1" ht="33" customHeight="1">
      <c r="A39" s="29" t="s">
        <v>339</v>
      </c>
      <c r="B39" s="30" t="s">
        <v>367</v>
      </c>
      <c r="C39" s="31">
        <v>121504</v>
      </c>
    </row>
    <row r="40" spans="1:3" s="16" customFormat="1" ht="17.25" customHeight="1">
      <c r="A40" s="29" t="s">
        <v>407</v>
      </c>
      <c r="B40" s="30" t="s">
        <v>368</v>
      </c>
      <c r="C40" s="31">
        <f>1688358+707087</f>
        <v>2395445</v>
      </c>
    </row>
    <row r="41" spans="1:3" ht="17.25" customHeight="1">
      <c r="A41" s="29" t="s">
        <v>408</v>
      </c>
      <c r="B41" s="30" t="s">
        <v>340</v>
      </c>
      <c r="C41" s="31">
        <f>1335300+181500</f>
        <v>1516800</v>
      </c>
    </row>
    <row r="42" spans="1:3" ht="31.5" customHeight="1">
      <c r="A42" s="29" t="s">
        <v>409</v>
      </c>
      <c r="B42" s="30" t="s">
        <v>410</v>
      </c>
      <c r="C42" s="31">
        <f>36178</f>
        <v>36178</v>
      </c>
    </row>
    <row r="43" spans="1:3" ht="17.25" customHeight="1">
      <c r="A43" s="29" t="s">
        <v>411</v>
      </c>
      <c r="B43" s="30" t="s">
        <v>536</v>
      </c>
      <c r="C43" s="31">
        <v>18746</v>
      </c>
    </row>
    <row r="44" spans="1:3" ht="17.25" customHeight="1">
      <c r="A44" s="29" t="s">
        <v>544</v>
      </c>
      <c r="B44" s="30" t="s">
        <v>545</v>
      </c>
      <c r="C44" s="31">
        <v>16390</v>
      </c>
    </row>
    <row r="45" spans="1:3" s="16" customFormat="1" ht="17.25" customHeight="1">
      <c r="A45" s="22" t="s">
        <v>69</v>
      </c>
      <c r="B45" s="27" t="s">
        <v>341</v>
      </c>
      <c r="C45" s="28">
        <f>740000+100000</f>
        <v>840000</v>
      </c>
    </row>
    <row r="46" spans="1:3" s="16" customFormat="1" ht="17.25" customHeight="1">
      <c r="A46" s="22" t="s">
        <v>70</v>
      </c>
      <c r="B46" s="27" t="s">
        <v>412</v>
      </c>
      <c r="C46" s="28">
        <f>SUM(C47:C52)</f>
        <v>2037242</v>
      </c>
    </row>
    <row r="47" spans="1:3" ht="17.25" customHeight="1">
      <c r="A47" s="29" t="s">
        <v>58</v>
      </c>
      <c r="B47" s="30" t="s">
        <v>369</v>
      </c>
      <c r="C47" s="35">
        <v>229722</v>
      </c>
    </row>
    <row r="48" spans="1:3" s="16" customFormat="1" ht="17.25" customHeight="1">
      <c r="A48" s="29" t="s">
        <v>59</v>
      </c>
      <c r="B48" s="30" t="s">
        <v>370</v>
      </c>
      <c r="C48" s="35">
        <v>746200</v>
      </c>
    </row>
    <row r="49" spans="1:3" s="16" customFormat="1" ht="17.25" customHeight="1">
      <c r="A49" s="29" t="s">
        <v>232</v>
      </c>
      <c r="B49" s="30" t="s">
        <v>371</v>
      </c>
      <c r="C49" s="35">
        <f>475878+93194</f>
        <v>569072</v>
      </c>
    </row>
    <row r="50" spans="1:3" s="16" customFormat="1" ht="17.25" customHeight="1">
      <c r="A50" s="29" t="s">
        <v>372</v>
      </c>
      <c r="B50" s="30" t="s">
        <v>413</v>
      </c>
      <c r="C50" s="35">
        <v>12775</v>
      </c>
    </row>
    <row r="51" spans="1:3" s="16" customFormat="1" ht="17.25" customHeight="1">
      <c r="A51" s="29" t="s">
        <v>414</v>
      </c>
      <c r="B51" s="30" t="s">
        <v>368</v>
      </c>
      <c r="C51" s="35">
        <v>452577</v>
      </c>
    </row>
    <row r="52" spans="1:3" s="16" customFormat="1" ht="17.25" customHeight="1">
      <c r="A52" s="29" t="s">
        <v>415</v>
      </c>
      <c r="B52" s="30" t="s">
        <v>373</v>
      </c>
      <c r="C52" s="35">
        <v>26896</v>
      </c>
    </row>
    <row r="53" spans="1:3" s="16" customFormat="1" ht="16.5" customHeight="1">
      <c r="A53" s="22"/>
      <c r="B53" s="27" t="s">
        <v>342</v>
      </c>
      <c r="C53" s="28">
        <f>C11+C21+C31+C45+C46</f>
        <v>32692650</v>
      </c>
    </row>
    <row r="54" spans="1:3" s="16" customFormat="1" ht="16.5" customHeight="1">
      <c r="A54" s="83"/>
      <c r="B54" s="84"/>
      <c r="C54" s="85"/>
    </row>
    <row r="55" ht="14.25">
      <c r="B55" s="18" t="s">
        <v>343</v>
      </c>
    </row>
    <row r="56" ht="14.25">
      <c r="B56" s="23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showZeros="0" zoomScalePageLayoutView="0" workbookViewId="0" topLeftCell="A1">
      <selection activeCell="B27" sqref="B27"/>
    </sheetView>
  </sheetViews>
  <sheetFormatPr defaultColWidth="9.140625" defaultRowHeight="12.75"/>
  <cols>
    <col min="1" max="1" width="6.00390625" style="25" customWidth="1"/>
    <col min="2" max="2" width="71.00390625" style="17" customWidth="1"/>
    <col min="3" max="3" width="15.00390625" style="26" customWidth="1"/>
    <col min="4" max="16384" width="9.140625" style="17" customWidth="1"/>
  </cols>
  <sheetData>
    <row r="1" spans="2:3" ht="15.75">
      <c r="B1" s="110" t="s">
        <v>303</v>
      </c>
      <c r="C1" s="110"/>
    </row>
    <row r="2" spans="2:3" ht="15.75">
      <c r="B2" s="110" t="s">
        <v>400</v>
      </c>
      <c r="C2" s="110"/>
    </row>
    <row r="3" spans="2:3" ht="15.75">
      <c r="B3" s="19" t="s">
        <v>548</v>
      </c>
      <c r="C3" s="19"/>
    </row>
    <row r="4" spans="2:3" ht="15.75">
      <c r="B4" s="19" t="s">
        <v>344</v>
      </c>
      <c r="C4" s="19"/>
    </row>
    <row r="5" spans="2:3" ht="15.75">
      <c r="B5" s="19" t="s">
        <v>345</v>
      </c>
      <c r="C5" s="24"/>
    </row>
    <row r="6" spans="2:3" ht="10.5" customHeight="1">
      <c r="B6" s="20"/>
      <c r="C6" s="24"/>
    </row>
    <row r="7" spans="2:3" ht="17.25" customHeight="1">
      <c r="B7" s="97"/>
      <c r="C7" s="102"/>
    </row>
    <row r="8" spans="1:3" ht="31.5" customHeight="1">
      <c r="A8" s="112" t="s">
        <v>537</v>
      </c>
      <c r="B8" s="112"/>
      <c r="C8" s="112"/>
    </row>
    <row r="9" ht="18.75" customHeight="1"/>
    <row r="10" spans="1:3" ht="28.5" customHeight="1">
      <c r="A10" s="22" t="s">
        <v>54</v>
      </c>
      <c r="B10" s="22" t="s">
        <v>346</v>
      </c>
      <c r="C10" s="22" t="s">
        <v>306</v>
      </c>
    </row>
    <row r="11" spans="1:3" ht="15.75">
      <c r="A11" s="22" t="s">
        <v>67</v>
      </c>
      <c r="B11" s="36" t="s">
        <v>347</v>
      </c>
      <c r="C11" s="28">
        <f>SUM(C12:C19)</f>
        <v>32692650</v>
      </c>
    </row>
    <row r="12" spans="1:3" ht="15.75">
      <c r="A12" s="29" t="s">
        <v>307</v>
      </c>
      <c r="B12" s="37" t="s">
        <v>348</v>
      </c>
      <c r="C12" s="31">
        <f>4768010+700+1783+1700+1500</f>
        <v>4773693</v>
      </c>
    </row>
    <row r="13" spans="1:3" ht="15.75">
      <c r="A13" s="29" t="s">
        <v>309</v>
      </c>
      <c r="B13" s="37" t="s">
        <v>349</v>
      </c>
      <c r="C13" s="31">
        <f>455118+114654</f>
        <v>569772</v>
      </c>
    </row>
    <row r="14" spans="1:3" ht="15.75">
      <c r="A14" s="29" t="s">
        <v>311</v>
      </c>
      <c r="B14" s="37" t="s">
        <v>350</v>
      </c>
      <c r="C14" s="31">
        <f>614303+35196+41591</f>
        <v>691090</v>
      </c>
    </row>
    <row r="15" spans="1:3" ht="15.75">
      <c r="A15" s="29" t="s">
        <v>313</v>
      </c>
      <c r="B15" s="37" t="s">
        <v>351</v>
      </c>
      <c r="C15" s="31">
        <f>4673508+58305+124676+4384+126943+30847+21100+12000</f>
        <v>5051763</v>
      </c>
    </row>
    <row r="16" spans="1:3" ht="15.75">
      <c r="A16" s="29" t="s">
        <v>314</v>
      </c>
      <c r="B16" s="37" t="s">
        <v>352</v>
      </c>
      <c r="C16" s="31">
        <f>1449890-693+3000+32000</f>
        <v>1484197</v>
      </c>
    </row>
    <row r="17" spans="1:3" ht="15.75">
      <c r="A17" s="29" t="s">
        <v>316</v>
      </c>
      <c r="B17" s="37" t="s">
        <v>353</v>
      </c>
      <c r="C17" s="31">
        <f>3226667+5286+159619-484000+570+8200+2500+5000</f>
        <v>2923842</v>
      </c>
    </row>
    <row r="18" spans="1:3" ht="15.75">
      <c r="A18" s="29" t="s">
        <v>318</v>
      </c>
      <c r="B18" s="37" t="s">
        <v>354</v>
      </c>
      <c r="C18" s="31">
        <f>12521724+25049+15893+29000+2500+8000+5700+1200+9800+12200+6000+2000+6400+3000+500+4200+1500+8000+44000+42500</f>
        <v>12749166</v>
      </c>
    </row>
    <row r="19" spans="1:3" ht="15.75" customHeight="1">
      <c r="A19" s="29" t="s">
        <v>320</v>
      </c>
      <c r="B19" s="37" t="s">
        <v>416</v>
      </c>
      <c r="C19" s="31">
        <f>4472096+12431-11800-35000+11700+2500+3700+21000-42500+5000+10000</f>
        <v>4449127</v>
      </c>
    </row>
    <row r="20" spans="1:3" ht="15.75">
      <c r="A20" s="22" t="s">
        <v>66</v>
      </c>
      <c r="B20" s="27" t="s">
        <v>355</v>
      </c>
      <c r="C20" s="28">
        <f>17044058+228000</f>
        <v>17272058</v>
      </c>
    </row>
    <row r="21" spans="1:3" ht="15.75">
      <c r="A21" s="29" t="s">
        <v>60</v>
      </c>
      <c r="B21" s="30" t="s">
        <v>356</v>
      </c>
      <c r="C21" s="31">
        <f>C20-C23-C24</f>
        <v>15520292</v>
      </c>
    </row>
    <row r="22" spans="1:3" ht="15.75">
      <c r="A22" s="29" t="s">
        <v>61</v>
      </c>
      <c r="B22" s="30" t="s">
        <v>357</v>
      </c>
      <c r="C22" s="31">
        <f>8752947-11000+26500+5000</f>
        <v>8773447</v>
      </c>
    </row>
    <row r="23" spans="1:3" ht="15.75">
      <c r="A23" s="29" t="s">
        <v>62</v>
      </c>
      <c r="B23" s="30" t="s">
        <v>24</v>
      </c>
      <c r="C23" s="31">
        <f>955644+3700+6400+11000+5000+11822+12000</f>
        <v>1005566</v>
      </c>
    </row>
    <row r="24" spans="1:3" ht="15.75">
      <c r="A24" s="29" t="s">
        <v>63</v>
      </c>
      <c r="B24" s="30" t="s">
        <v>285</v>
      </c>
      <c r="C24" s="31">
        <v>746200</v>
      </c>
    </row>
    <row r="25" spans="1:3" ht="31.5">
      <c r="A25" s="22" t="s">
        <v>68</v>
      </c>
      <c r="B25" s="27" t="s">
        <v>358</v>
      </c>
      <c r="C25" s="28">
        <f>2311419-11800-35000+11700-693</f>
        <v>2275626</v>
      </c>
    </row>
    <row r="26" spans="1:3" ht="15.75">
      <c r="A26" s="29" t="s">
        <v>85</v>
      </c>
      <c r="B26" s="30" t="s">
        <v>356</v>
      </c>
      <c r="C26" s="31">
        <f>C25</f>
        <v>2275626</v>
      </c>
    </row>
    <row r="27" spans="1:3" ht="15.75">
      <c r="A27" s="29" t="s">
        <v>332</v>
      </c>
      <c r="B27" s="30" t="s">
        <v>357</v>
      </c>
      <c r="C27" s="31">
        <f>1054868-572-11000</f>
        <v>1043296</v>
      </c>
    </row>
    <row r="28" spans="1:3" ht="15.75" customHeight="1">
      <c r="A28" s="22" t="s">
        <v>69</v>
      </c>
      <c r="B28" s="27" t="s">
        <v>417</v>
      </c>
      <c r="C28" s="28">
        <f>6077900+71900</f>
        <v>6149800</v>
      </c>
    </row>
    <row r="29" spans="1:3" ht="15.75">
      <c r="A29" s="29" t="s">
        <v>56</v>
      </c>
      <c r="B29" s="30" t="s">
        <v>356</v>
      </c>
      <c r="C29" s="31">
        <f>C28-C31</f>
        <v>6137791</v>
      </c>
    </row>
    <row r="30" spans="1:3" ht="15.75">
      <c r="A30" s="29" t="s">
        <v>57</v>
      </c>
      <c r="B30" s="30" t="s">
        <v>357</v>
      </c>
      <c r="C30" s="31">
        <f>5843430+71900+120879-119150</f>
        <v>5917059</v>
      </c>
    </row>
    <row r="31" spans="1:3" ht="15.75">
      <c r="A31" s="29" t="s">
        <v>190</v>
      </c>
      <c r="B31" s="30" t="s">
        <v>24</v>
      </c>
      <c r="C31" s="31">
        <v>12009</v>
      </c>
    </row>
    <row r="32" spans="1:3" ht="17.25" customHeight="1">
      <c r="A32" s="22" t="s">
        <v>70</v>
      </c>
      <c r="B32" s="27" t="s">
        <v>418</v>
      </c>
      <c r="C32" s="28">
        <f>C33+C34</f>
        <v>840000</v>
      </c>
    </row>
    <row r="33" spans="1:3" ht="17.25" customHeight="1">
      <c r="A33" s="29" t="s">
        <v>419</v>
      </c>
      <c r="B33" s="30" t="s">
        <v>356</v>
      </c>
      <c r="C33" s="31">
        <v>185000</v>
      </c>
    </row>
    <row r="34" spans="1:3" ht="15.75">
      <c r="A34" s="29" t="s">
        <v>59</v>
      </c>
      <c r="B34" s="30" t="s">
        <v>24</v>
      </c>
      <c r="C34" s="31">
        <v>655000</v>
      </c>
    </row>
    <row r="35" spans="1:3" s="16" customFormat="1" ht="32.25" customHeight="1">
      <c r="A35" s="22" t="s">
        <v>71</v>
      </c>
      <c r="B35" s="27" t="s">
        <v>374</v>
      </c>
      <c r="C35" s="28">
        <f>2903712+707087-484000</f>
        <v>3126799</v>
      </c>
    </row>
    <row r="36" spans="1:3" ht="15.75">
      <c r="A36" s="29" t="s">
        <v>86</v>
      </c>
      <c r="B36" s="30" t="s">
        <v>356</v>
      </c>
      <c r="C36" s="31">
        <f>C35-C38</f>
        <v>330904</v>
      </c>
    </row>
    <row r="37" spans="1:3" ht="15.75">
      <c r="A37" s="29" t="s">
        <v>261</v>
      </c>
      <c r="B37" s="30" t="s">
        <v>357</v>
      </c>
      <c r="C37" s="31">
        <f>34153+3400</f>
        <v>37553</v>
      </c>
    </row>
    <row r="38" spans="1:3" ht="15.75" customHeight="1">
      <c r="A38" s="29" t="s">
        <v>269</v>
      </c>
      <c r="B38" s="30" t="s">
        <v>24</v>
      </c>
      <c r="C38" s="31">
        <f>2585239+694656-484000</f>
        <v>2795895</v>
      </c>
    </row>
    <row r="39" spans="1:3" ht="31.5" customHeight="1">
      <c r="A39" s="22" t="s">
        <v>72</v>
      </c>
      <c r="B39" s="27" t="s">
        <v>359</v>
      </c>
      <c r="C39" s="28">
        <f>1497997+2500+2500+8000+570</f>
        <v>1511567</v>
      </c>
    </row>
    <row r="40" spans="1:3" ht="15.75">
      <c r="A40" s="29" t="s">
        <v>87</v>
      </c>
      <c r="B40" s="30" t="s">
        <v>356</v>
      </c>
      <c r="C40" s="31">
        <f>C39-C42</f>
        <v>1498195</v>
      </c>
    </row>
    <row r="41" spans="1:3" ht="15.75">
      <c r="A41" s="29" t="s">
        <v>88</v>
      </c>
      <c r="B41" s="30" t="s">
        <v>357</v>
      </c>
      <c r="C41" s="31">
        <f>70000+7211</f>
        <v>77211</v>
      </c>
    </row>
    <row r="42" spans="1:3" s="16" customFormat="1" ht="15.75">
      <c r="A42" s="29" t="s">
        <v>89</v>
      </c>
      <c r="B42" s="30" t="s">
        <v>24</v>
      </c>
      <c r="C42" s="31">
        <f>12372+1000</f>
        <v>13372</v>
      </c>
    </row>
    <row r="43" spans="1:3" s="16" customFormat="1" ht="15.75">
      <c r="A43" s="22" t="s">
        <v>73</v>
      </c>
      <c r="B43" s="27" t="s">
        <v>360</v>
      </c>
      <c r="C43" s="28">
        <f>SUM(C44:C45)</f>
        <v>1516800</v>
      </c>
    </row>
    <row r="44" spans="1:3" ht="15.75">
      <c r="A44" s="29" t="s">
        <v>90</v>
      </c>
      <c r="B44" s="30" t="s">
        <v>356</v>
      </c>
      <c r="C44" s="106">
        <f>400000+2700</f>
        <v>402700</v>
      </c>
    </row>
    <row r="45" spans="1:3" ht="15.75">
      <c r="A45" s="29" t="s">
        <v>91</v>
      </c>
      <c r="B45" s="30" t="s">
        <v>24</v>
      </c>
      <c r="C45" s="31">
        <f>1116800-2700</f>
        <v>1114100</v>
      </c>
    </row>
    <row r="46" spans="1:3" ht="15.75">
      <c r="A46" s="58"/>
      <c r="B46" s="59"/>
      <c r="C46" s="60"/>
    </row>
    <row r="47" ht="4.5" customHeight="1"/>
    <row r="48" spans="2:3" ht="15.75">
      <c r="B48" s="86"/>
      <c r="C48" s="107"/>
    </row>
    <row r="49" spans="2:3" ht="15.75">
      <c r="B49" s="103" t="s">
        <v>549</v>
      </c>
      <c r="C49" s="107"/>
    </row>
    <row r="50" spans="2:3" ht="15.75">
      <c r="B50" s="86"/>
      <c r="C50" s="108"/>
    </row>
    <row r="51" spans="2:3" ht="15.75">
      <c r="B51" s="86"/>
      <c r="C51" s="108"/>
    </row>
    <row r="52" ht="14.25">
      <c r="C52" s="87"/>
    </row>
    <row r="54" ht="14.25">
      <c r="B54" s="23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0"/>
  <sheetViews>
    <sheetView showZeros="0" tabSelected="1" zoomScalePageLayoutView="0" workbookViewId="0" topLeftCell="A1">
      <selection activeCell="D1" sqref="D1"/>
    </sheetView>
  </sheetViews>
  <sheetFormatPr defaultColWidth="9.140625" defaultRowHeight="15" customHeight="1"/>
  <cols>
    <col min="1" max="1" width="4.7109375" style="98" customWidth="1"/>
    <col min="2" max="2" width="44.8515625" style="99" customWidth="1"/>
    <col min="3" max="3" width="10.28125" style="16" customWidth="1"/>
    <col min="4" max="4" width="10.57421875" style="17" customWidth="1"/>
    <col min="5" max="5" width="10.00390625" style="17" customWidth="1"/>
    <col min="6" max="6" width="9.8515625" style="16" customWidth="1"/>
    <col min="7" max="7" width="9.28125" style="17" customWidth="1"/>
    <col min="8" max="8" width="9.8515625" style="17" customWidth="1"/>
    <col min="9" max="10" width="10.00390625" style="16" customWidth="1"/>
    <col min="11" max="11" width="9.8515625" style="17" customWidth="1"/>
    <col min="12" max="12" width="9.00390625" style="16" customWidth="1"/>
    <col min="13" max="13" width="9.00390625" style="17" customWidth="1"/>
    <col min="14" max="14" width="9.7109375" style="17" customWidth="1"/>
    <col min="15" max="15" width="10.7109375" style="17" customWidth="1"/>
    <col min="16" max="16" width="10.00390625" style="17" hidden="1" customWidth="1"/>
    <col min="17" max="17" width="12.8515625" style="23" hidden="1" customWidth="1"/>
    <col min="18" max="19" width="0" style="17" hidden="1" customWidth="1"/>
    <col min="20" max="20" width="9.140625" style="23" customWidth="1"/>
    <col min="21" max="21" width="12.7109375" style="23" customWidth="1"/>
    <col min="22" max="16384" width="9.140625" style="17" customWidth="1"/>
  </cols>
  <sheetData>
    <row r="1" spans="1:21" s="2" customFormat="1" ht="11.25" customHeight="1">
      <c r="A1" s="61"/>
      <c r="B1" s="43"/>
      <c r="C1" s="1"/>
      <c r="F1" s="1"/>
      <c r="I1" s="1"/>
      <c r="J1" s="1"/>
      <c r="K1" s="1"/>
      <c r="L1" s="1"/>
      <c r="Q1" s="88"/>
      <c r="T1" s="88"/>
      <c r="U1" s="88"/>
    </row>
    <row r="2" spans="1:21" s="2" customFormat="1" ht="15" customHeight="1">
      <c r="A2" s="61"/>
      <c r="B2" s="43"/>
      <c r="C2" s="1"/>
      <c r="F2" s="1"/>
      <c r="I2" s="1"/>
      <c r="J2" s="1"/>
      <c r="K2" s="2" t="s">
        <v>13</v>
      </c>
      <c r="L2" s="1"/>
      <c r="Q2" s="88"/>
      <c r="T2" s="88"/>
      <c r="U2" s="88"/>
    </row>
    <row r="3" spans="1:21" s="2" customFormat="1" ht="15" customHeight="1">
      <c r="A3" s="61"/>
      <c r="B3" s="43"/>
      <c r="C3" s="1"/>
      <c r="D3" s="1"/>
      <c r="F3" s="1"/>
      <c r="G3" s="1"/>
      <c r="I3" s="1"/>
      <c r="J3" s="1"/>
      <c r="K3" s="2" t="s">
        <v>420</v>
      </c>
      <c r="L3" s="1"/>
      <c r="M3" s="1"/>
      <c r="Q3" s="88"/>
      <c r="T3" s="88"/>
      <c r="U3" s="88"/>
    </row>
    <row r="4" spans="1:21" s="2" customFormat="1" ht="15" customHeight="1">
      <c r="A4" s="61"/>
      <c r="B4" s="43"/>
      <c r="C4" s="1"/>
      <c r="D4" s="1"/>
      <c r="F4" s="1"/>
      <c r="G4" s="1"/>
      <c r="I4" s="1"/>
      <c r="J4" s="1"/>
      <c r="K4" s="2" t="s">
        <v>550</v>
      </c>
      <c r="L4" s="1"/>
      <c r="M4" s="1"/>
      <c r="Q4" s="88"/>
      <c r="T4" s="88"/>
      <c r="U4" s="88"/>
    </row>
    <row r="5" spans="1:21" s="2" customFormat="1" ht="15" customHeight="1">
      <c r="A5" s="61"/>
      <c r="B5" s="43"/>
      <c r="C5" s="1"/>
      <c r="F5" s="1"/>
      <c r="I5" s="1"/>
      <c r="J5" s="1"/>
      <c r="K5" s="2" t="s">
        <v>202</v>
      </c>
      <c r="L5" s="1"/>
      <c r="Q5" s="88"/>
      <c r="T5" s="88"/>
      <c r="U5" s="88"/>
    </row>
    <row r="6" spans="1:21" s="2" customFormat="1" ht="12.75" customHeight="1">
      <c r="A6" s="61"/>
      <c r="B6" s="43"/>
      <c r="C6" s="1"/>
      <c r="F6" s="1"/>
      <c r="I6" s="1"/>
      <c r="J6" s="1"/>
      <c r="L6" s="1"/>
      <c r="Q6" s="88"/>
      <c r="T6" s="88"/>
      <c r="U6" s="88"/>
    </row>
    <row r="7" spans="1:21" s="2" customFormat="1" ht="15" customHeight="1">
      <c r="A7" s="61"/>
      <c r="B7" s="111" t="s">
        <v>421</v>
      </c>
      <c r="C7" s="111"/>
      <c r="D7" s="111"/>
      <c r="E7" s="111"/>
      <c r="F7" s="111"/>
      <c r="G7" s="111"/>
      <c r="H7" s="111"/>
      <c r="I7" s="111"/>
      <c r="J7" s="111"/>
      <c r="K7" s="111"/>
      <c r="Q7" s="88"/>
      <c r="T7" s="88"/>
      <c r="U7" s="88"/>
    </row>
    <row r="8" spans="1:21" s="2" customFormat="1" ht="11.25" customHeight="1">
      <c r="A8" s="61"/>
      <c r="B8" s="62"/>
      <c r="C8" s="1"/>
      <c r="D8" s="1"/>
      <c r="F8" s="1"/>
      <c r="G8" s="1"/>
      <c r="I8" s="1"/>
      <c r="J8" s="1"/>
      <c r="K8" s="1"/>
      <c r="L8" s="1"/>
      <c r="M8" s="1"/>
      <c r="O8" s="2" t="s">
        <v>375</v>
      </c>
      <c r="Q8" s="88"/>
      <c r="T8" s="88"/>
      <c r="U8" s="88"/>
    </row>
    <row r="9" spans="1:21" s="3" customFormat="1" ht="39.75" customHeight="1">
      <c r="A9" s="122" t="s">
        <v>23</v>
      </c>
      <c r="B9" s="116" t="s">
        <v>79</v>
      </c>
      <c r="C9" s="113" t="s">
        <v>25</v>
      </c>
      <c r="D9" s="114"/>
      <c r="E9" s="115"/>
      <c r="F9" s="113" t="s">
        <v>376</v>
      </c>
      <c r="G9" s="114"/>
      <c r="H9" s="115"/>
      <c r="I9" s="113" t="s">
        <v>538</v>
      </c>
      <c r="J9" s="114"/>
      <c r="K9" s="115"/>
      <c r="L9" s="113" t="s">
        <v>377</v>
      </c>
      <c r="M9" s="114"/>
      <c r="N9" s="115"/>
      <c r="O9" s="116" t="s">
        <v>27</v>
      </c>
      <c r="Q9" s="89"/>
      <c r="T9" s="89"/>
      <c r="U9" s="89"/>
    </row>
    <row r="10" spans="1:21" s="4" customFormat="1" ht="15" customHeight="1">
      <c r="A10" s="122"/>
      <c r="B10" s="117"/>
      <c r="C10" s="116" t="s">
        <v>0</v>
      </c>
      <c r="D10" s="113" t="s">
        <v>1</v>
      </c>
      <c r="E10" s="115"/>
      <c r="F10" s="116" t="s">
        <v>0</v>
      </c>
      <c r="G10" s="113" t="s">
        <v>1</v>
      </c>
      <c r="H10" s="115"/>
      <c r="I10" s="116" t="s">
        <v>0</v>
      </c>
      <c r="J10" s="113" t="s">
        <v>1</v>
      </c>
      <c r="K10" s="115"/>
      <c r="L10" s="116" t="s">
        <v>0</v>
      </c>
      <c r="M10" s="113" t="s">
        <v>1</v>
      </c>
      <c r="N10" s="115"/>
      <c r="O10" s="117"/>
      <c r="Q10" s="90"/>
      <c r="T10" s="90"/>
      <c r="U10" s="90"/>
    </row>
    <row r="11" spans="1:21" s="4" customFormat="1" ht="15" customHeight="1">
      <c r="A11" s="122"/>
      <c r="B11" s="117"/>
      <c r="C11" s="117"/>
      <c r="D11" s="116" t="s">
        <v>26</v>
      </c>
      <c r="E11" s="116" t="s">
        <v>24</v>
      </c>
      <c r="F11" s="117"/>
      <c r="G11" s="116" t="s">
        <v>26</v>
      </c>
      <c r="H11" s="116" t="s">
        <v>24</v>
      </c>
      <c r="I11" s="117"/>
      <c r="J11" s="116" t="s">
        <v>26</v>
      </c>
      <c r="K11" s="116" t="s">
        <v>24</v>
      </c>
      <c r="L11" s="117"/>
      <c r="M11" s="116" t="s">
        <v>26</v>
      </c>
      <c r="N11" s="116" t="s">
        <v>24</v>
      </c>
      <c r="O11" s="117"/>
      <c r="Q11" s="90"/>
      <c r="T11" s="90"/>
      <c r="U11" s="90"/>
    </row>
    <row r="12" spans="1:21" s="4" customFormat="1" ht="39" customHeight="1">
      <c r="A12" s="122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Q12" s="90"/>
      <c r="T12" s="90"/>
      <c r="U12" s="90"/>
    </row>
    <row r="13" spans="1:21" s="6" customFormat="1" ht="14.25" customHeight="1">
      <c r="A13" s="5">
        <v>1</v>
      </c>
      <c r="B13" s="63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Q13" s="91"/>
      <c r="T13" s="91"/>
      <c r="U13" s="91"/>
    </row>
    <row r="14" spans="1:21" s="7" customFormat="1" ht="15" customHeight="1">
      <c r="A14" s="38"/>
      <c r="B14" s="119" t="s">
        <v>290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Q14" s="20"/>
      <c r="T14" s="20"/>
      <c r="U14" s="20"/>
    </row>
    <row r="15" spans="1:21" s="8" customFormat="1" ht="15.75" customHeight="1">
      <c r="A15" s="38"/>
      <c r="B15" s="64" t="s">
        <v>39</v>
      </c>
      <c r="C15" s="50">
        <f>C16+C17+C42+C44</f>
        <v>3328841</v>
      </c>
      <c r="D15" s="50">
        <f aca="true" t="shared" si="0" ref="D15:N15">D16+D17+D42+D44</f>
        <v>2374100</v>
      </c>
      <c r="E15" s="50">
        <f t="shared" si="0"/>
        <v>388217</v>
      </c>
      <c r="F15" s="50">
        <f t="shared" si="0"/>
        <v>334372</v>
      </c>
      <c r="G15" s="50">
        <f t="shared" si="0"/>
        <v>278128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 t="shared" si="0"/>
        <v>179280</v>
      </c>
      <c r="M15" s="50">
        <f t="shared" si="0"/>
        <v>0</v>
      </c>
      <c r="N15" s="50">
        <f t="shared" si="0"/>
        <v>6472</v>
      </c>
      <c r="O15" s="38">
        <f aca="true" t="shared" si="1" ref="O15:O47">C15+F15+I15+L15</f>
        <v>3842493</v>
      </c>
      <c r="P15" s="92">
        <f>85000+746200</f>
        <v>831200</v>
      </c>
      <c r="Q15" s="92">
        <f>SUM(O15:P15)</f>
        <v>4673693</v>
      </c>
      <c r="T15" s="92"/>
      <c r="U15" s="92"/>
    </row>
    <row r="16" spans="1:21" s="7" customFormat="1" ht="15.75" customHeight="1">
      <c r="A16" s="38" t="s">
        <v>67</v>
      </c>
      <c r="B16" s="64" t="s">
        <v>230</v>
      </c>
      <c r="C16" s="50">
        <v>49000</v>
      </c>
      <c r="D16" s="50">
        <v>46500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38">
        <f t="shared" si="1"/>
        <v>49000</v>
      </c>
      <c r="Q16" s="20"/>
      <c r="T16" s="20"/>
      <c r="U16" s="20"/>
    </row>
    <row r="17" spans="1:21" s="7" customFormat="1" ht="16.5" customHeight="1">
      <c r="A17" s="38" t="s">
        <v>66</v>
      </c>
      <c r="B17" s="64" t="s">
        <v>52</v>
      </c>
      <c r="C17" s="50">
        <f>SUM(C18:C41)</f>
        <v>2785477</v>
      </c>
      <c r="D17" s="50">
        <f aca="true" t="shared" si="2" ref="D17:N17">SUM(D18:D41)</f>
        <v>2327600</v>
      </c>
      <c r="E17" s="50">
        <f t="shared" si="2"/>
        <v>59853</v>
      </c>
      <c r="F17" s="50">
        <f t="shared" si="2"/>
        <v>334372</v>
      </c>
      <c r="G17" s="50">
        <f t="shared" si="2"/>
        <v>278128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0">
        <f>SUM(L18:L41)</f>
        <v>179280</v>
      </c>
      <c r="M17" s="50">
        <f t="shared" si="2"/>
        <v>0</v>
      </c>
      <c r="N17" s="50">
        <f t="shared" si="2"/>
        <v>6472</v>
      </c>
      <c r="O17" s="38">
        <f t="shared" si="1"/>
        <v>3299129</v>
      </c>
      <c r="Q17" s="20"/>
      <c r="T17" s="20"/>
      <c r="U17" s="20"/>
    </row>
    <row r="18" spans="1:21" s="2" customFormat="1" ht="15" customHeight="1">
      <c r="A18" s="39" t="s">
        <v>60</v>
      </c>
      <c r="B18" s="45" t="s">
        <v>231</v>
      </c>
      <c r="C18" s="38">
        <f>279700+36194+3000+4000</f>
        <v>322894</v>
      </c>
      <c r="D18" s="40">
        <f>160800+83000+36000+4000</f>
        <v>283800</v>
      </c>
      <c r="E18" s="40"/>
      <c r="F18" s="38"/>
      <c r="G18" s="40"/>
      <c r="H18" s="40"/>
      <c r="I18" s="38"/>
      <c r="J18" s="38"/>
      <c r="K18" s="40"/>
      <c r="L18" s="38"/>
      <c r="M18" s="40"/>
      <c r="N18" s="40"/>
      <c r="O18" s="38">
        <f t="shared" si="1"/>
        <v>322894</v>
      </c>
      <c r="Q18" s="88"/>
      <c r="T18" s="88"/>
      <c r="U18" s="88"/>
    </row>
    <row r="19" spans="1:21" s="2" customFormat="1" ht="15" customHeight="1">
      <c r="A19" s="39" t="s">
        <v>61</v>
      </c>
      <c r="B19" s="45" t="s">
        <v>109</v>
      </c>
      <c r="C19" s="38">
        <v>7000</v>
      </c>
      <c r="D19" s="40"/>
      <c r="E19" s="40"/>
      <c r="F19" s="38"/>
      <c r="G19" s="40"/>
      <c r="H19" s="40"/>
      <c r="I19" s="38"/>
      <c r="J19" s="38"/>
      <c r="K19" s="40"/>
      <c r="L19" s="38"/>
      <c r="M19" s="40"/>
      <c r="N19" s="40"/>
      <c r="O19" s="38">
        <f t="shared" si="1"/>
        <v>7000</v>
      </c>
      <c r="Q19" s="88"/>
      <c r="T19" s="88"/>
      <c r="U19" s="88"/>
    </row>
    <row r="20" spans="1:21" s="2" customFormat="1" ht="29.25" customHeight="1">
      <c r="A20" s="39" t="s">
        <v>62</v>
      </c>
      <c r="B20" s="45" t="s">
        <v>203</v>
      </c>
      <c r="C20" s="38">
        <f>1623200-29000</f>
        <v>1594200</v>
      </c>
      <c r="D20" s="40">
        <f>1392400-40000</f>
        <v>1352400</v>
      </c>
      <c r="E20" s="40">
        <f>10000+11000</f>
        <v>21000</v>
      </c>
      <c r="F20" s="38">
        <v>75926</v>
      </c>
      <c r="G20" s="40">
        <v>55640</v>
      </c>
      <c r="H20" s="40"/>
      <c r="I20" s="38"/>
      <c r="J20" s="38"/>
      <c r="K20" s="40"/>
      <c r="L20" s="38">
        <f>5000+40000+90000</f>
        <v>135000</v>
      </c>
      <c r="M20" s="40"/>
      <c r="N20" s="40"/>
      <c r="O20" s="38">
        <f t="shared" si="1"/>
        <v>1805126</v>
      </c>
      <c r="Q20" s="88"/>
      <c r="T20" s="88"/>
      <c r="U20" s="88"/>
    </row>
    <row r="21" spans="1:21" s="2" customFormat="1" ht="15" customHeight="1">
      <c r="A21" s="39" t="s">
        <v>63</v>
      </c>
      <c r="B21" s="45" t="s">
        <v>21</v>
      </c>
      <c r="C21" s="38"/>
      <c r="D21" s="40"/>
      <c r="E21" s="40"/>
      <c r="F21" s="38">
        <v>7100</v>
      </c>
      <c r="G21" s="40">
        <v>6600</v>
      </c>
      <c r="H21" s="40"/>
      <c r="I21" s="38"/>
      <c r="J21" s="38"/>
      <c r="K21" s="40"/>
      <c r="L21" s="38"/>
      <c r="M21" s="40"/>
      <c r="N21" s="40"/>
      <c r="O21" s="38">
        <f t="shared" si="1"/>
        <v>7100</v>
      </c>
      <c r="Q21" s="88"/>
      <c r="T21" s="88"/>
      <c r="U21" s="88"/>
    </row>
    <row r="22" spans="1:21" s="2" customFormat="1" ht="15" customHeight="1">
      <c r="A22" s="39" t="s">
        <v>64</v>
      </c>
      <c r="B22" s="45" t="s">
        <v>199</v>
      </c>
      <c r="C22" s="38"/>
      <c r="D22" s="40"/>
      <c r="E22" s="40"/>
      <c r="F22" s="38">
        <v>19600</v>
      </c>
      <c r="G22" s="40">
        <v>13900</v>
      </c>
      <c r="H22" s="40"/>
      <c r="I22" s="38"/>
      <c r="J22" s="38"/>
      <c r="K22" s="40"/>
      <c r="L22" s="38"/>
      <c r="M22" s="40"/>
      <c r="N22" s="40"/>
      <c r="O22" s="38">
        <f t="shared" si="1"/>
        <v>19600</v>
      </c>
      <c r="Q22" s="88"/>
      <c r="T22" s="88"/>
      <c r="U22" s="88"/>
    </row>
    <row r="23" spans="1:21" s="2" customFormat="1" ht="15" customHeight="1">
      <c r="A23" s="39" t="s">
        <v>65</v>
      </c>
      <c r="B23" s="45" t="s">
        <v>204</v>
      </c>
      <c r="C23" s="38"/>
      <c r="D23" s="40"/>
      <c r="E23" s="40"/>
      <c r="F23" s="38">
        <v>177100</v>
      </c>
      <c r="G23" s="40">
        <v>157100</v>
      </c>
      <c r="H23" s="40"/>
      <c r="I23" s="38"/>
      <c r="J23" s="38"/>
      <c r="K23" s="40"/>
      <c r="L23" s="38"/>
      <c r="M23" s="40"/>
      <c r="N23" s="40"/>
      <c r="O23" s="38">
        <f t="shared" si="1"/>
        <v>177100</v>
      </c>
      <c r="Q23" s="88"/>
      <c r="T23" s="88"/>
      <c r="U23" s="88"/>
    </row>
    <row r="24" spans="1:21" s="2" customFormat="1" ht="15" customHeight="1">
      <c r="A24" s="39" t="s">
        <v>80</v>
      </c>
      <c r="B24" s="45" t="s">
        <v>213</v>
      </c>
      <c r="C24" s="38"/>
      <c r="D24" s="40"/>
      <c r="E24" s="40"/>
      <c r="F24" s="38">
        <v>12400</v>
      </c>
      <c r="G24" s="40">
        <v>8800</v>
      </c>
      <c r="H24" s="40"/>
      <c r="I24" s="38"/>
      <c r="J24" s="38"/>
      <c r="K24" s="40"/>
      <c r="L24" s="38"/>
      <c r="M24" s="40"/>
      <c r="N24" s="40"/>
      <c r="O24" s="38">
        <f t="shared" si="1"/>
        <v>12400</v>
      </c>
      <c r="Q24" s="88"/>
      <c r="T24" s="88"/>
      <c r="U24" s="88"/>
    </row>
    <row r="25" spans="1:21" s="2" customFormat="1" ht="28.5" customHeight="1">
      <c r="A25" s="39" t="s">
        <v>81</v>
      </c>
      <c r="B25" s="45" t="s">
        <v>205</v>
      </c>
      <c r="C25" s="38"/>
      <c r="D25" s="40"/>
      <c r="E25" s="40"/>
      <c r="F25" s="38">
        <v>6200</v>
      </c>
      <c r="G25" s="40">
        <v>6110</v>
      </c>
      <c r="H25" s="40"/>
      <c r="I25" s="38"/>
      <c r="J25" s="38"/>
      <c r="K25" s="40"/>
      <c r="L25" s="38"/>
      <c r="M25" s="40"/>
      <c r="N25" s="40"/>
      <c r="O25" s="38">
        <f t="shared" si="1"/>
        <v>6200</v>
      </c>
      <c r="Q25" s="88"/>
      <c r="T25" s="88"/>
      <c r="U25" s="88"/>
    </row>
    <row r="26" spans="1:21" s="2" customFormat="1" ht="15" customHeight="1">
      <c r="A26" s="41" t="s">
        <v>82</v>
      </c>
      <c r="B26" s="45" t="s">
        <v>206</v>
      </c>
      <c r="C26" s="38"/>
      <c r="D26" s="40"/>
      <c r="E26" s="40"/>
      <c r="F26" s="38">
        <v>3800</v>
      </c>
      <c r="G26" s="40"/>
      <c r="H26" s="40"/>
      <c r="I26" s="38"/>
      <c r="J26" s="38"/>
      <c r="K26" s="40"/>
      <c r="L26" s="38"/>
      <c r="M26" s="40"/>
      <c r="N26" s="40"/>
      <c r="O26" s="38">
        <f>C26+F26+I26+L26</f>
        <v>3800</v>
      </c>
      <c r="Q26" s="88"/>
      <c r="T26" s="88"/>
      <c r="U26" s="88"/>
    </row>
    <row r="27" spans="1:21" s="2" customFormat="1" ht="15" customHeight="1">
      <c r="A27" s="65" t="s">
        <v>83</v>
      </c>
      <c r="B27" s="45" t="s">
        <v>422</v>
      </c>
      <c r="C27" s="38"/>
      <c r="D27" s="40"/>
      <c r="E27" s="40"/>
      <c r="F27" s="38">
        <v>13500</v>
      </c>
      <c r="G27" s="40">
        <v>11500</v>
      </c>
      <c r="H27" s="40"/>
      <c r="I27" s="38"/>
      <c r="J27" s="38"/>
      <c r="K27" s="40"/>
      <c r="L27" s="38"/>
      <c r="M27" s="40"/>
      <c r="N27" s="40"/>
      <c r="O27" s="38">
        <f t="shared" si="1"/>
        <v>13500</v>
      </c>
      <c r="Q27" s="88"/>
      <c r="T27" s="88"/>
      <c r="U27" s="88"/>
    </row>
    <row r="28" spans="1:21" s="2" customFormat="1" ht="28.5" customHeight="1">
      <c r="A28" s="41" t="s">
        <v>84</v>
      </c>
      <c r="B28" s="45" t="s">
        <v>423</v>
      </c>
      <c r="C28" s="38"/>
      <c r="D28" s="40"/>
      <c r="E28" s="40"/>
      <c r="F28" s="38">
        <v>18746</v>
      </c>
      <c r="G28" s="40">
        <v>18478</v>
      </c>
      <c r="H28" s="40"/>
      <c r="I28" s="38"/>
      <c r="J28" s="38"/>
      <c r="K28" s="40"/>
      <c r="L28" s="38"/>
      <c r="M28" s="40"/>
      <c r="N28" s="40"/>
      <c r="O28" s="38">
        <f t="shared" si="1"/>
        <v>18746</v>
      </c>
      <c r="Q28" s="88"/>
      <c r="T28" s="88"/>
      <c r="U28" s="88"/>
    </row>
    <row r="29" spans="1:21" s="2" customFormat="1" ht="15" customHeight="1">
      <c r="A29" s="41" t="s">
        <v>108</v>
      </c>
      <c r="B29" s="45" t="s">
        <v>112</v>
      </c>
      <c r="C29" s="38">
        <f>68100+1000</f>
        <v>69100</v>
      </c>
      <c r="D29" s="40">
        <f>60620+1000</f>
        <v>61620</v>
      </c>
      <c r="E29" s="40"/>
      <c r="F29" s="40"/>
      <c r="G29" s="40"/>
      <c r="H29" s="40"/>
      <c r="I29" s="40"/>
      <c r="J29" s="40"/>
      <c r="K29" s="40"/>
      <c r="L29" s="38">
        <v>2070</v>
      </c>
      <c r="M29" s="40"/>
      <c r="N29" s="40"/>
      <c r="O29" s="38">
        <f t="shared" si="1"/>
        <v>71170</v>
      </c>
      <c r="Q29" s="88"/>
      <c r="T29" s="88"/>
      <c r="U29" s="88"/>
    </row>
    <row r="30" spans="1:21" s="2" customFormat="1" ht="15" customHeight="1">
      <c r="A30" s="41" t="s">
        <v>110</v>
      </c>
      <c r="B30" s="45" t="s">
        <v>118</v>
      </c>
      <c r="C30" s="38">
        <f>57000+3200</f>
        <v>60200</v>
      </c>
      <c r="D30" s="40">
        <f>49000+3200</f>
        <v>52200</v>
      </c>
      <c r="E30" s="40"/>
      <c r="F30" s="40"/>
      <c r="G30" s="40"/>
      <c r="H30" s="40"/>
      <c r="I30" s="40"/>
      <c r="J30" s="40"/>
      <c r="K30" s="40"/>
      <c r="L30" s="38"/>
      <c r="M30" s="40"/>
      <c r="N30" s="40"/>
      <c r="O30" s="38">
        <f t="shared" si="1"/>
        <v>60200</v>
      </c>
      <c r="Q30" s="88"/>
      <c r="T30" s="88"/>
      <c r="U30" s="88"/>
    </row>
    <row r="31" spans="1:21" s="2" customFormat="1" ht="15" customHeight="1">
      <c r="A31" s="41" t="s">
        <v>111</v>
      </c>
      <c r="B31" s="45" t="s">
        <v>119</v>
      </c>
      <c r="C31" s="38">
        <f>41500+2200</f>
        <v>43700</v>
      </c>
      <c r="D31" s="40">
        <f>32130+2200</f>
        <v>34330</v>
      </c>
      <c r="E31" s="40"/>
      <c r="F31" s="40"/>
      <c r="G31" s="40"/>
      <c r="H31" s="40"/>
      <c r="I31" s="40"/>
      <c r="J31" s="40"/>
      <c r="K31" s="40"/>
      <c r="L31" s="38">
        <v>630</v>
      </c>
      <c r="M31" s="40"/>
      <c r="N31" s="40"/>
      <c r="O31" s="38">
        <f t="shared" si="1"/>
        <v>44330</v>
      </c>
      <c r="Q31" s="88"/>
      <c r="T31" s="88"/>
      <c r="U31" s="88"/>
    </row>
    <row r="32" spans="1:21" s="1" customFormat="1" ht="15" customHeight="1">
      <c r="A32" s="41" t="s">
        <v>129</v>
      </c>
      <c r="B32" s="45" t="s">
        <v>120</v>
      </c>
      <c r="C32" s="38">
        <f>66100+5800</f>
        <v>71900</v>
      </c>
      <c r="D32" s="40">
        <f>58050+5800</f>
        <v>63850</v>
      </c>
      <c r="E32" s="40"/>
      <c r="F32" s="40"/>
      <c r="G32" s="40"/>
      <c r="H32" s="40"/>
      <c r="I32" s="40"/>
      <c r="J32" s="40"/>
      <c r="K32" s="40"/>
      <c r="L32" s="38">
        <v>100</v>
      </c>
      <c r="M32" s="40"/>
      <c r="N32" s="40"/>
      <c r="O32" s="38">
        <f t="shared" si="1"/>
        <v>72000</v>
      </c>
      <c r="Q32" s="20"/>
      <c r="T32" s="20"/>
      <c r="U32" s="20"/>
    </row>
    <row r="33" spans="1:21" s="2" customFormat="1" ht="15" customHeight="1">
      <c r="A33" s="41" t="s">
        <v>130</v>
      </c>
      <c r="B33" s="45" t="s">
        <v>121</v>
      </c>
      <c r="C33" s="38">
        <v>94000</v>
      </c>
      <c r="D33" s="40">
        <v>78370</v>
      </c>
      <c r="E33" s="40"/>
      <c r="F33" s="40"/>
      <c r="G33" s="40"/>
      <c r="H33" s="40"/>
      <c r="I33" s="40"/>
      <c r="J33" s="40"/>
      <c r="K33" s="40"/>
      <c r="L33" s="38">
        <f>2750+19000+10000</f>
        <v>31750</v>
      </c>
      <c r="M33" s="40"/>
      <c r="N33" s="40">
        <v>3872</v>
      </c>
      <c r="O33" s="38">
        <f t="shared" si="1"/>
        <v>125750</v>
      </c>
      <c r="Q33" s="88"/>
      <c r="T33" s="88"/>
      <c r="U33" s="88"/>
    </row>
    <row r="34" spans="1:21" s="2" customFormat="1" ht="15" customHeight="1">
      <c r="A34" s="41" t="s">
        <v>131</v>
      </c>
      <c r="B34" s="45" t="s">
        <v>122</v>
      </c>
      <c r="C34" s="38">
        <f>66700+2500</f>
        <v>69200</v>
      </c>
      <c r="D34" s="40">
        <f>59330+2500</f>
        <v>61830</v>
      </c>
      <c r="E34" s="40"/>
      <c r="F34" s="40"/>
      <c r="G34" s="40"/>
      <c r="H34" s="40"/>
      <c r="I34" s="40"/>
      <c r="J34" s="40"/>
      <c r="K34" s="40"/>
      <c r="L34" s="38">
        <v>490</v>
      </c>
      <c r="M34" s="40"/>
      <c r="N34" s="40"/>
      <c r="O34" s="38">
        <f t="shared" si="1"/>
        <v>69690</v>
      </c>
      <c r="Q34" s="88"/>
      <c r="T34" s="88"/>
      <c r="U34" s="88"/>
    </row>
    <row r="35" spans="1:21" s="2" customFormat="1" ht="15" customHeight="1">
      <c r="A35" s="41" t="s">
        <v>132</v>
      </c>
      <c r="B35" s="45" t="s">
        <v>123</v>
      </c>
      <c r="C35" s="38">
        <v>54200</v>
      </c>
      <c r="D35" s="40">
        <v>47600</v>
      </c>
      <c r="E35" s="40"/>
      <c r="F35" s="40"/>
      <c r="G35" s="40"/>
      <c r="H35" s="40"/>
      <c r="I35" s="40"/>
      <c r="J35" s="40"/>
      <c r="K35" s="40"/>
      <c r="L35" s="38">
        <v>1160</v>
      </c>
      <c r="M35" s="40"/>
      <c r="N35" s="40">
        <v>1000</v>
      </c>
      <c r="O35" s="38">
        <f t="shared" si="1"/>
        <v>55360</v>
      </c>
      <c r="Q35" s="88"/>
      <c r="T35" s="88"/>
      <c r="U35" s="88"/>
    </row>
    <row r="36" spans="1:21" s="2" customFormat="1" ht="15" customHeight="1">
      <c r="A36" s="41" t="s">
        <v>133</v>
      </c>
      <c r="B36" s="45" t="s">
        <v>124</v>
      </c>
      <c r="C36" s="38">
        <v>61900</v>
      </c>
      <c r="D36" s="40">
        <v>55200</v>
      </c>
      <c r="E36" s="40"/>
      <c r="F36" s="40"/>
      <c r="G36" s="40"/>
      <c r="H36" s="40"/>
      <c r="I36" s="40"/>
      <c r="J36" s="40"/>
      <c r="K36" s="40"/>
      <c r="L36" s="38"/>
      <c r="M36" s="40"/>
      <c r="N36" s="40"/>
      <c r="O36" s="38">
        <f t="shared" si="1"/>
        <v>61900</v>
      </c>
      <c r="Q36" s="88"/>
      <c r="T36" s="88"/>
      <c r="U36" s="88"/>
    </row>
    <row r="37" spans="1:21" s="2" customFormat="1" ht="15" customHeight="1">
      <c r="A37" s="41" t="s">
        <v>134</v>
      </c>
      <c r="B37" s="45" t="s">
        <v>125</v>
      </c>
      <c r="C37" s="38">
        <f>63700+2500</f>
        <v>66200</v>
      </c>
      <c r="D37" s="40">
        <f>56880+2500</f>
        <v>59380</v>
      </c>
      <c r="E37" s="40"/>
      <c r="F37" s="40"/>
      <c r="G37" s="40"/>
      <c r="H37" s="40"/>
      <c r="I37" s="40"/>
      <c r="J37" s="40"/>
      <c r="K37" s="40"/>
      <c r="L37" s="38">
        <v>470</v>
      </c>
      <c r="M37" s="40"/>
      <c r="N37" s="40"/>
      <c r="O37" s="38">
        <f t="shared" si="1"/>
        <v>66670</v>
      </c>
      <c r="Q37" s="88"/>
      <c r="T37" s="88"/>
      <c r="U37" s="88"/>
    </row>
    <row r="38" spans="1:21" s="2" customFormat="1" ht="15" customHeight="1">
      <c r="A38" s="41" t="s">
        <v>135</v>
      </c>
      <c r="B38" s="45" t="s">
        <v>126</v>
      </c>
      <c r="C38" s="38">
        <f>67400+2500</f>
        <v>69900</v>
      </c>
      <c r="D38" s="40">
        <f>61900+2500</f>
        <v>64400</v>
      </c>
      <c r="E38" s="40"/>
      <c r="F38" s="40"/>
      <c r="G38" s="40"/>
      <c r="H38" s="40"/>
      <c r="I38" s="40"/>
      <c r="J38" s="40"/>
      <c r="K38" s="40"/>
      <c r="L38" s="38">
        <f>5370+1500</f>
        <v>6870</v>
      </c>
      <c r="M38" s="40"/>
      <c r="N38" s="40">
        <v>1600</v>
      </c>
      <c r="O38" s="38">
        <f t="shared" si="1"/>
        <v>76770</v>
      </c>
      <c r="Q38" s="88"/>
      <c r="T38" s="88"/>
      <c r="U38" s="88"/>
    </row>
    <row r="39" spans="1:21" s="2" customFormat="1" ht="15" customHeight="1">
      <c r="A39" s="41" t="s">
        <v>136</v>
      </c>
      <c r="B39" s="45" t="s">
        <v>127</v>
      </c>
      <c r="C39" s="38">
        <f>59200+6800</f>
        <v>66000</v>
      </c>
      <c r="D39" s="40">
        <f>49000+6800</f>
        <v>55800</v>
      </c>
      <c r="E39" s="40"/>
      <c r="F39" s="40"/>
      <c r="G39" s="40"/>
      <c r="H39" s="40"/>
      <c r="I39" s="40"/>
      <c r="J39" s="40"/>
      <c r="K39" s="40"/>
      <c r="L39" s="38">
        <v>740</v>
      </c>
      <c r="M39" s="40"/>
      <c r="N39" s="40"/>
      <c r="O39" s="38">
        <f>C39+F39+I39+L39</f>
        <v>66740</v>
      </c>
      <c r="Q39" s="88"/>
      <c r="T39" s="88"/>
      <c r="U39" s="88"/>
    </row>
    <row r="40" spans="1:21" s="2" customFormat="1" ht="15.75" customHeight="1">
      <c r="A40" s="41" t="s">
        <v>137</v>
      </c>
      <c r="B40" s="128" t="s">
        <v>128</v>
      </c>
      <c r="C40" s="38">
        <f>64600+2500</f>
        <v>67100</v>
      </c>
      <c r="D40" s="40">
        <f>54320+2500</f>
        <v>56820</v>
      </c>
      <c r="E40" s="40"/>
      <c r="F40" s="40"/>
      <c r="G40" s="40"/>
      <c r="H40" s="40"/>
      <c r="I40" s="40"/>
      <c r="J40" s="40"/>
      <c r="K40" s="40"/>
      <c r="L40" s="38"/>
      <c r="M40" s="40"/>
      <c r="N40" s="40"/>
      <c r="O40" s="38">
        <f t="shared" si="1"/>
        <v>67100</v>
      </c>
      <c r="Q40" s="88"/>
      <c r="T40" s="88"/>
      <c r="U40" s="88"/>
    </row>
    <row r="41" spans="1:21" s="1" customFormat="1" ht="29.25" customHeight="1">
      <c r="A41" s="41" t="s">
        <v>424</v>
      </c>
      <c r="B41" s="45" t="s">
        <v>189</v>
      </c>
      <c r="C41" s="38">
        <f>63800+700+1783+1700</f>
        <v>67983</v>
      </c>
      <c r="D41" s="40"/>
      <c r="E41" s="40">
        <f>33800+870+700+1783+1700</f>
        <v>38853</v>
      </c>
      <c r="F41" s="40"/>
      <c r="G41" s="40"/>
      <c r="H41" s="40"/>
      <c r="I41" s="40"/>
      <c r="J41" s="40"/>
      <c r="K41" s="40"/>
      <c r="L41" s="40"/>
      <c r="M41" s="40"/>
      <c r="N41" s="38"/>
      <c r="O41" s="38">
        <f t="shared" si="1"/>
        <v>67983</v>
      </c>
      <c r="Q41" s="20"/>
      <c r="T41" s="20"/>
      <c r="U41" s="20"/>
    </row>
    <row r="42" spans="1:21" s="11" customFormat="1" ht="27" customHeight="1">
      <c r="A42" s="38" t="s">
        <v>68</v>
      </c>
      <c r="B42" s="64" t="s">
        <v>29</v>
      </c>
      <c r="C42" s="38">
        <f aca="true" t="shared" si="3" ref="C42:I42">SUM(C43:C43)</f>
        <v>53000</v>
      </c>
      <c r="D42" s="38">
        <f t="shared" si="3"/>
        <v>0</v>
      </c>
      <c r="E42" s="38">
        <f t="shared" si="3"/>
        <v>0</v>
      </c>
      <c r="F42" s="38">
        <f t="shared" si="3"/>
        <v>0</v>
      </c>
      <c r="G42" s="38">
        <f t="shared" si="3"/>
        <v>0</v>
      </c>
      <c r="H42" s="38">
        <f t="shared" si="3"/>
        <v>0</v>
      </c>
      <c r="I42" s="38">
        <f t="shared" si="3"/>
        <v>0</v>
      </c>
      <c r="J42" s="38"/>
      <c r="K42" s="38">
        <f>SUM(K43:K43)</f>
        <v>0</v>
      </c>
      <c r="L42" s="38">
        <f>SUM(L43:L43)</f>
        <v>0</v>
      </c>
      <c r="M42" s="38">
        <f>SUM(M43:M43)</f>
        <v>0</v>
      </c>
      <c r="N42" s="38">
        <f>SUM(N43:N43)</f>
        <v>0</v>
      </c>
      <c r="O42" s="38">
        <f t="shared" si="1"/>
        <v>53000</v>
      </c>
      <c r="Q42" s="92"/>
      <c r="T42" s="92"/>
      <c r="U42" s="92"/>
    </row>
    <row r="43" spans="1:21" s="9" customFormat="1" ht="15" customHeight="1">
      <c r="A43" s="66" t="s">
        <v>85</v>
      </c>
      <c r="B43" s="67" t="s">
        <v>378</v>
      </c>
      <c r="C43" s="40">
        <v>53000</v>
      </c>
      <c r="D43" s="42"/>
      <c r="E43" s="40"/>
      <c r="F43" s="42"/>
      <c r="G43" s="42"/>
      <c r="H43" s="42"/>
      <c r="I43" s="42"/>
      <c r="J43" s="42"/>
      <c r="K43" s="42"/>
      <c r="L43" s="42"/>
      <c r="M43" s="42"/>
      <c r="N43" s="42"/>
      <c r="O43" s="38">
        <f t="shared" si="1"/>
        <v>53000</v>
      </c>
      <c r="Q43" s="61"/>
      <c r="T43" s="61"/>
      <c r="U43" s="61"/>
    </row>
    <row r="44" spans="1:21" s="11" customFormat="1" ht="15" customHeight="1">
      <c r="A44" s="38" t="s">
        <v>69</v>
      </c>
      <c r="B44" s="64" t="s">
        <v>52</v>
      </c>
      <c r="C44" s="38">
        <f aca="true" t="shared" si="4" ref="C44:I44">SUM(C45:C47)</f>
        <v>441364</v>
      </c>
      <c r="D44" s="38">
        <f t="shared" si="4"/>
        <v>0</v>
      </c>
      <c r="E44" s="38">
        <f t="shared" si="4"/>
        <v>328364</v>
      </c>
      <c r="F44" s="38">
        <f t="shared" si="4"/>
        <v>0</v>
      </c>
      <c r="G44" s="38">
        <f t="shared" si="4"/>
        <v>0</v>
      </c>
      <c r="H44" s="38">
        <f t="shared" si="4"/>
        <v>0</v>
      </c>
      <c r="I44" s="38">
        <f t="shared" si="4"/>
        <v>0</v>
      </c>
      <c r="J44" s="38"/>
      <c r="K44" s="38">
        <f>SUM(K45:K47)</f>
        <v>0</v>
      </c>
      <c r="L44" s="38">
        <f>SUM(L45:L47)</f>
        <v>0</v>
      </c>
      <c r="M44" s="38">
        <f>SUM(M45:M47)</f>
        <v>0</v>
      </c>
      <c r="N44" s="38">
        <f>SUM(N45:N47)</f>
        <v>0</v>
      </c>
      <c r="O44" s="38">
        <f t="shared" si="1"/>
        <v>441364</v>
      </c>
      <c r="Q44" s="92"/>
      <c r="T44" s="92"/>
      <c r="U44" s="92"/>
    </row>
    <row r="45" spans="1:21" s="9" customFormat="1" ht="15" customHeight="1">
      <c r="A45" s="39" t="s">
        <v>56</v>
      </c>
      <c r="B45" s="67" t="s">
        <v>286</v>
      </c>
      <c r="C45" s="40">
        <v>4000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8">
        <f t="shared" si="1"/>
        <v>4000</v>
      </c>
      <c r="Q45" s="61"/>
      <c r="T45" s="61"/>
      <c r="U45" s="61"/>
    </row>
    <row r="46" spans="1:21" s="9" customFormat="1" ht="15" customHeight="1">
      <c r="A46" s="66" t="s">
        <v>57</v>
      </c>
      <c r="B46" s="67" t="s">
        <v>49</v>
      </c>
      <c r="C46" s="40">
        <f>8000-4000</f>
        <v>4000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8">
        <f>C46+F46+I46+L46</f>
        <v>4000</v>
      </c>
      <c r="Q46" s="61"/>
      <c r="T46" s="61"/>
      <c r="U46" s="61"/>
    </row>
    <row r="47" spans="1:21" s="9" customFormat="1" ht="59.25" customHeight="1">
      <c r="A47" s="66" t="s">
        <v>190</v>
      </c>
      <c r="B47" s="67" t="s">
        <v>263</v>
      </c>
      <c r="C47" s="40">
        <f>354000+79364</f>
        <v>433364</v>
      </c>
      <c r="D47" s="42"/>
      <c r="E47" s="40">
        <f>249000+79364</f>
        <v>328364</v>
      </c>
      <c r="F47" s="42"/>
      <c r="G47" s="42"/>
      <c r="H47" s="42"/>
      <c r="I47" s="42"/>
      <c r="J47" s="42"/>
      <c r="K47" s="42"/>
      <c r="L47" s="42"/>
      <c r="M47" s="42"/>
      <c r="N47" s="42"/>
      <c r="O47" s="38">
        <f t="shared" si="1"/>
        <v>433364</v>
      </c>
      <c r="Q47" s="61"/>
      <c r="T47" s="61"/>
      <c r="U47" s="61"/>
    </row>
    <row r="48" spans="1:21" s="1" customFormat="1" ht="15" customHeight="1">
      <c r="A48" s="68"/>
      <c r="B48" s="119" t="s">
        <v>291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/>
      <c r="Q48" s="20"/>
      <c r="T48" s="20"/>
      <c r="U48" s="20"/>
    </row>
    <row r="49" spans="1:21" s="9" customFormat="1" ht="15" customHeight="1">
      <c r="A49" s="40"/>
      <c r="B49" s="64" t="s">
        <v>39</v>
      </c>
      <c r="C49" s="50">
        <f>C50</f>
        <v>26700</v>
      </c>
      <c r="D49" s="50">
        <f aca="true" t="shared" si="5" ref="D49:N49">D50</f>
        <v>0</v>
      </c>
      <c r="E49" s="50">
        <f t="shared" si="5"/>
        <v>0</v>
      </c>
      <c r="F49" s="50">
        <f t="shared" si="5"/>
        <v>543072</v>
      </c>
      <c r="G49" s="50">
        <f t="shared" si="5"/>
        <v>0</v>
      </c>
      <c r="H49" s="50">
        <f t="shared" si="5"/>
        <v>286072</v>
      </c>
      <c r="I49" s="50">
        <f t="shared" si="5"/>
        <v>0</v>
      </c>
      <c r="J49" s="50"/>
      <c r="K49" s="50">
        <f t="shared" si="5"/>
        <v>0</v>
      </c>
      <c r="L49" s="50">
        <f t="shared" si="5"/>
        <v>0</v>
      </c>
      <c r="M49" s="50">
        <f t="shared" si="5"/>
        <v>0</v>
      </c>
      <c r="N49" s="50">
        <f t="shared" si="5"/>
        <v>0</v>
      </c>
      <c r="O49" s="38">
        <f aca="true" t="shared" si="6" ref="O49:O54">C49+F49+I49+L49</f>
        <v>569772</v>
      </c>
      <c r="P49" s="92"/>
      <c r="Q49" s="92">
        <f>SUM(O49:P49)</f>
        <v>569772</v>
      </c>
      <c r="T49" s="92"/>
      <c r="U49" s="92"/>
    </row>
    <row r="50" spans="1:21" s="9" customFormat="1" ht="15.75" customHeight="1">
      <c r="A50" s="38" t="s">
        <v>70</v>
      </c>
      <c r="B50" s="64" t="s">
        <v>52</v>
      </c>
      <c r="C50" s="50">
        <f>SUM(C52,C53,C54)</f>
        <v>26700</v>
      </c>
      <c r="D50" s="50">
        <f>SUM(D54)</f>
        <v>0</v>
      </c>
      <c r="E50" s="50">
        <f>SUM(E54)</f>
        <v>0</v>
      </c>
      <c r="F50" s="50">
        <f>SUM(F51,F54)</f>
        <v>543072</v>
      </c>
      <c r="G50" s="50">
        <f>SUM(G51,G54)</f>
        <v>0</v>
      </c>
      <c r="H50" s="50">
        <f>SUM(H51,H54)</f>
        <v>286072</v>
      </c>
      <c r="I50" s="50">
        <f aca="true" t="shared" si="7" ref="I50:N50">SUM(I51)</f>
        <v>0</v>
      </c>
      <c r="J50" s="50"/>
      <c r="K50" s="50">
        <f t="shared" si="7"/>
        <v>0</v>
      </c>
      <c r="L50" s="50">
        <f t="shared" si="7"/>
        <v>0</v>
      </c>
      <c r="M50" s="50">
        <f t="shared" si="7"/>
        <v>0</v>
      </c>
      <c r="N50" s="50">
        <f t="shared" si="7"/>
        <v>0</v>
      </c>
      <c r="O50" s="38">
        <f t="shared" si="6"/>
        <v>569772</v>
      </c>
      <c r="Q50" s="61"/>
      <c r="T50" s="61"/>
      <c r="U50" s="61"/>
    </row>
    <row r="51" spans="1:21" s="13" customFormat="1" ht="15" customHeight="1">
      <c r="A51" s="66" t="s">
        <v>58</v>
      </c>
      <c r="B51" s="67" t="s">
        <v>191</v>
      </c>
      <c r="C51" s="67"/>
      <c r="D51" s="67"/>
      <c r="E51" s="67"/>
      <c r="F51" s="49">
        <v>257000</v>
      </c>
      <c r="G51" s="49"/>
      <c r="H51" s="49"/>
      <c r="I51" s="67"/>
      <c r="J51" s="67"/>
      <c r="K51" s="67"/>
      <c r="L51" s="67"/>
      <c r="M51" s="67"/>
      <c r="N51" s="67"/>
      <c r="O51" s="38">
        <f t="shared" si="6"/>
        <v>257000</v>
      </c>
      <c r="Q51" s="61"/>
      <c r="T51" s="61"/>
      <c r="U51" s="61"/>
    </row>
    <row r="52" spans="1:21" s="13" customFormat="1" ht="15" customHeight="1">
      <c r="A52" s="66" t="s">
        <v>59</v>
      </c>
      <c r="B52" s="67" t="s">
        <v>259</v>
      </c>
      <c r="C52" s="49">
        <v>10000</v>
      </c>
      <c r="D52" s="67"/>
      <c r="E52" s="67"/>
      <c r="F52" s="49"/>
      <c r="G52" s="49"/>
      <c r="H52" s="49"/>
      <c r="I52" s="67"/>
      <c r="J52" s="67"/>
      <c r="K52" s="67"/>
      <c r="L52" s="67"/>
      <c r="M52" s="67"/>
      <c r="N52" s="67"/>
      <c r="O52" s="38">
        <f t="shared" si="6"/>
        <v>10000</v>
      </c>
      <c r="Q52" s="61"/>
      <c r="T52" s="61"/>
      <c r="U52" s="61"/>
    </row>
    <row r="53" spans="1:21" s="2" customFormat="1" ht="15" customHeight="1">
      <c r="A53" s="66" t="s">
        <v>232</v>
      </c>
      <c r="B53" s="93" t="s">
        <v>268</v>
      </c>
      <c r="C53" s="40">
        <v>16700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8">
        <f t="shared" si="6"/>
        <v>16700</v>
      </c>
      <c r="Q53" s="88"/>
      <c r="T53" s="88"/>
      <c r="U53" s="88"/>
    </row>
    <row r="54" spans="1:21" s="2" customFormat="1" ht="29.25" customHeight="1">
      <c r="A54" s="129" t="s">
        <v>232</v>
      </c>
      <c r="B54" s="43" t="s">
        <v>539</v>
      </c>
      <c r="C54" s="100"/>
      <c r="D54" s="100"/>
      <c r="E54" s="100"/>
      <c r="F54" s="100">
        <f>171418+114654</f>
        <v>286072</v>
      </c>
      <c r="G54" s="100"/>
      <c r="H54" s="100">
        <f>171418+114654</f>
        <v>286072</v>
      </c>
      <c r="I54" s="100"/>
      <c r="J54" s="100"/>
      <c r="K54" s="100"/>
      <c r="L54" s="100"/>
      <c r="M54" s="40"/>
      <c r="N54" s="40"/>
      <c r="O54" s="38">
        <f t="shared" si="6"/>
        <v>286072</v>
      </c>
      <c r="Q54" s="88"/>
      <c r="T54" s="88"/>
      <c r="U54" s="88"/>
    </row>
    <row r="55" spans="1:21" s="2" customFormat="1" ht="15" customHeight="1">
      <c r="A55" s="69"/>
      <c r="B55" s="119" t="s">
        <v>292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1"/>
      <c r="Q55" s="88"/>
      <c r="T55" s="88"/>
      <c r="U55" s="88"/>
    </row>
    <row r="56" spans="1:21" s="9" customFormat="1" ht="15.75" customHeight="1">
      <c r="A56" s="40"/>
      <c r="B56" s="64" t="s">
        <v>39</v>
      </c>
      <c r="C56" s="50">
        <f>C57</f>
        <v>81900</v>
      </c>
      <c r="D56" s="50">
        <f aca="true" t="shared" si="8" ref="D56:N56">D57</f>
        <v>28500</v>
      </c>
      <c r="E56" s="50">
        <f t="shared" si="8"/>
        <v>0</v>
      </c>
      <c r="F56" s="50">
        <f t="shared" si="8"/>
        <v>609190</v>
      </c>
      <c r="G56" s="50">
        <f t="shared" si="8"/>
        <v>0</v>
      </c>
      <c r="H56" s="50">
        <f t="shared" si="8"/>
        <v>510461</v>
      </c>
      <c r="I56" s="50">
        <f t="shared" si="8"/>
        <v>0</v>
      </c>
      <c r="J56" s="50">
        <f t="shared" si="8"/>
        <v>0</v>
      </c>
      <c r="K56" s="50">
        <f t="shared" si="8"/>
        <v>0</v>
      </c>
      <c r="L56" s="50">
        <f t="shared" si="8"/>
        <v>0</v>
      </c>
      <c r="M56" s="50">
        <f t="shared" si="8"/>
        <v>0</v>
      </c>
      <c r="N56" s="50">
        <f t="shared" si="8"/>
        <v>0</v>
      </c>
      <c r="O56" s="38">
        <f aca="true" t="shared" si="9" ref="O56:O61">C56+F56+I56+L56</f>
        <v>691090</v>
      </c>
      <c r="P56" s="92">
        <v>0</v>
      </c>
      <c r="Q56" s="92">
        <f>SUM(O56:P56)</f>
        <v>691090</v>
      </c>
      <c r="T56" s="92"/>
      <c r="U56" s="92"/>
    </row>
    <row r="57" spans="1:21" s="2" customFormat="1" ht="15" customHeight="1">
      <c r="A57" s="38" t="s">
        <v>71</v>
      </c>
      <c r="B57" s="64" t="s">
        <v>52</v>
      </c>
      <c r="C57" s="38">
        <f>SUM(C58:C64)</f>
        <v>81900</v>
      </c>
      <c r="D57" s="38">
        <f>SUM(D58:D64)</f>
        <v>28500</v>
      </c>
      <c r="E57" s="38">
        <f aca="true" t="shared" si="10" ref="E57:N57">SUM(E58:E64)</f>
        <v>0</v>
      </c>
      <c r="F57" s="38">
        <f t="shared" si="10"/>
        <v>609190</v>
      </c>
      <c r="G57" s="38">
        <f t="shared" si="10"/>
        <v>0</v>
      </c>
      <c r="H57" s="38">
        <f t="shared" si="10"/>
        <v>510461</v>
      </c>
      <c r="I57" s="38">
        <f t="shared" si="10"/>
        <v>0</v>
      </c>
      <c r="J57" s="38">
        <f t="shared" si="10"/>
        <v>0</v>
      </c>
      <c r="K57" s="38">
        <f t="shared" si="10"/>
        <v>0</v>
      </c>
      <c r="L57" s="38">
        <f t="shared" si="10"/>
        <v>0</v>
      </c>
      <c r="M57" s="38">
        <f t="shared" si="10"/>
        <v>0</v>
      </c>
      <c r="N57" s="38">
        <f t="shared" si="10"/>
        <v>0</v>
      </c>
      <c r="O57" s="38">
        <f t="shared" si="9"/>
        <v>691090</v>
      </c>
      <c r="Q57" s="88"/>
      <c r="T57" s="88"/>
      <c r="U57" s="88"/>
    </row>
    <row r="58" spans="1:21" s="2" customFormat="1" ht="15" customHeight="1">
      <c r="A58" s="66" t="s">
        <v>86</v>
      </c>
      <c r="B58" s="70" t="s">
        <v>200</v>
      </c>
      <c r="C58" s="40">
        <v>56900</v>
      </c>
      <c r="D58" s="40">
        <v>28500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8">
        <f t="shared" si="9"/>
        <v>56900</v>
      </c>
      <c r="Q58" s="88"/>
      <c r="T58" s="88"/>
      <c r="U58" s="88"/>
    </row>
    <row r="59" spans="1:21" s="2" customFormat="1" ht="15" customHeight="1">
      <c r="A59" s="39" t="s">
        <v>261</v>
      </c>
      <c r="B59" s="70" t="s">
        <v>233</v>
      </c>
      <c r="C59" s="40">
        <v>10000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8">
        <f t="shared" si="9"/>
        <v>10000</v>
      </c>
      <c r="Q59" s="88"/>
      <c r="T59" s="88"/>
      <c r="U59" s="88"/>
    </row>
    <row r="60" spans="1:21" s="2" customFormat="1" ht="15" customHeight="1">
      <c r="A60" s="44" t="s">
        <v>269</v>
      </c>
      <c r="B60" s="45" t="s">
        <v>270</v>
      </c>
      <c r="C60" s="46">
        <v>15000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>
        <f t="shared" si="9"/>
        <v>15000</v>
      </c>
      <c r="Q60" s="88"/>
      <c r="T60" s="88"/>
      <c r="U60" s="88"/>
    </row>
    <row r="61" spans="1:21" s="2" customFormat="1" ht="29.25" customHeight="1">
      <c r="A61" s="39" t="s">
        <v>379</v>
      </c>
      <c r="B61" s="45" t="s">
        <v>380</v>
      </c>
      <c r="C61" s="40"/>
      <c r="D61" s="40"/>
      <c r="E61" s="40"/>
      <c r="F61" s="40">
        <v>150896</v>
      </c>
      <c r="G61" s="40"/>
      <c r="H61" s="40">
        <v>150896</v>
      </c>
      <c r="I61" s="40"/>
      <c r="J61" s="40"/>
      <c r="K61" s="40"/>
      <c r="L61" s="40"/>
      <c r="M61" s="40"/>
      <c r="N61" s="40"/>
      <c r="O61" s="47">
        <f t="shared" si="9"/>
        <v>150896</v>
      </c>
      <c r="Q61" s="88"/>
      <c r="T61" s="88"/>
      <c r="U61" s="88"/>
    </row>
    <row r="62" spans="1:21" s="2" customFormat="1" ht="31.5" customHeight="1">
      <c r="A62" s="39" t="s">
        <v>381</v>
      </c>
      <c r="B62" s="43" t="s">
        <v>382</v>
      </c>
      <c r="C62" s="40"/>
      <c r="D62" s="40"/>
      <c r="E62" s="40"/>
      <c r="F62" s="40">
        <v>262561</v>
      </c>
      <c r="G62" s="40"/>
      <c r="H62" s="40">
        <v>262561</v>
      </c>
      <c r="I62" s="40"/>
      <c r="J62" s="40"/>
      <c r="K62" s="40"/>
      <c r="L62" s="40"/>
      <c r="M62" s="40"/>
      <c r="N62" s="40"/>
      <c r="O62" s="47">
        <f>C62+F62+I62+L62</f>
        <v>262561</v>
      </c>
      <c r="Q62" s="88"/>
      <c r="T62" s="88"/>
      <c r="U62" s="88"/>
    </row>
    <row r="63" spans="1:21" s="2" customFormat="1" ht="43.5" customHeight="1">
      <c r="A63" s="39" t="s">
        <v>425</v>
      </c>
      <c r="B63" s="93" t="s">
        <v>426</v>
      </c>
      <c r="C63" s="40"/>
      <c r="D63" s="40"/>
      <c r="E63" s="40"/>
      <c r="F63" s="40">
        <f>61808+35196</f>
        <v>97004</v>
      </c>
      <c r="G63" s="40"/>
      <c r="H63" s="40">
        <f>61808+35196</f>
        <v>97004</v>
      </c>
      <c r="I63" s="40"/>
      <c r="J63" s="40"/>
      <c r="K63" s="40"/>
      <c r="L63" s="40"/>
      <c r="M63" s="40"/>
      <c r="N63" s="40"/>
      <c r="O63" s="47">
        <f>C63+F63+I63+L63</f>
        <v>97004</v>
      </c>
      <c r="Q63" s="88"/>
      <c r="T63" s="88"/>
      <c r="U63" s="88"/>
    </row>
    <row r="64" spans="1:21" s="2" customFormat="1" ht="17.25" customHeight="1">
      <c r="A64" s="39" t="s">
        <v>427</v>
      </c>
      <c r="B64" s="101" t="s">
        <v>428</v>
      </c>
      <c r="C64" s="100"/>
      <c r="D64" s="40"/>
      <c r="E64" s="40"/>
      <c r="F64" s="40">
        <f>57138+41591</f>
        <v>98729</v>
      </c>
      <c r="G64" s="40"/>
      <c r="H64" s="40"/>
      <c r="I64" s="40"/>
      <c r="J64" s="40"/>
      <c r="K64" s="40"/>
      <c r="L64" s="40"/>
      <c r="M64" s="40"/>
      <c r="N64" s="40"/>
      <c r="O64" s="47">
        <f>C64+F64+I64+L64</f>
        <v>98729</v>
      </c>
      <c r="Q64" s="88"/>
      <c r="T64" s="88"/>
      <c r="U64" s="88"/>
    </row>
    <row r="65" spans="1:21" s="1" customFormat="1" ht="21" customHeight="1">
      <c r="A65" s="68"/>
      <c r="B65" s="124" t="s">
        <v>383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Q65" s="20"/>
      <c r="T65" s="20"/>
      <c r="U65" s="20"/>
    </row>
    <row r="66" spans="1:21" s="9" customFormat="1" ht="15.75" customHeight="1">
      <c r="A66" s="40"/>
      <c r="B66" s="64" t="s">
        <v>39</v>
      </c>
      <c r="C66" s="50">
        <f aca="true" t="shared" si="11" ref="C66:N66">C67+C105</f>
        <v>1609542</v>
      </c>
      <c r="D66" s="50">
        <f t="shared" si="11"/>
        <v>14772</v>
      </c>
      <c r="E66" s="50">
        <f t="shared" si="11"/>
        <v>175847</v>
      </c>
      <c r="F66" s="50">
        <f t="shared" si="11"/>
        <v>1360421</v>
      </c>
      <c r="G66" s="50">
        <f t="shared" si="11"/>
        <v>417600</v>
      </c>
      <c r="H66" s="50">
        <f t="shared" si="11"/>
        <v>913821</v>
      </c>
      <c r="I66" s="50">
        <f t="shared" si="11"/>
        <v>1516800</v>
      </c>
      <c r="J66" s="50">
        <f t="shared" si="11"/>
        <v>0</v>
      </c>
      <c r="K66" s="50">
        <f t="shared" si="11"/>
        <v>1114100</v>
      </c>
      <c r="L66" s="50">
        <f t="shared" si="11"/>
        <v>0</v>
      </c>
      <c r="M66" s="50">
        <f t="shared" si="11"/>
        <v>0</v>
      </c>
      <c r="N66" s="50">
        <f t="shared" si="11"/>
        <v>0</v>
      </c>
      <c r="O66" s="38">
        <f aca="true" t="shared" si="12" ref="O66:O103">C66+F66+I66+L66</f>
        <v>4486763</v>
      </c>
      <c r="P66" s="92">
        <v>545000</v>
      </c>
      <c r="Q66" s="92">
        <f>SUM(O66:P66)</f>
        <v>5031763</v>
      </c>
      <c r="T66" s="92"/>
      <c r="U66" s="92"/>
    </row>
    <row r="67" spans="1:21" s="9" customFormat="1" ht="15.75" customHeight="1">
      <c r="A67" s="38" t="s">
        <v>72</v>
      </c>
      <c r="B67" s="64" t="s">
        <v>52</v>
      </c>
      <c r="C67" s="50">
        <f>SUM(C68:C92)</f>
        <v>1576942</v>
      </c>
      <c r="D67" s="50">
        <f aca="true" t="shared" si="13" ref="D67:N67">SUM(D68:D92)</f>
        <v>0</v>
      </c>
      <c r="E67" s="50">
        <f t="shared" si="13"/>
        <v>163847</v>
      </c>
      <c r="F67" s="50">
        <f t="shared" si="13"/>
        <v>913821</v>
      </c>
      <c r="G67" s="50">
        <f t="shared" si="13"/>
        <v>0</v>
      </c>
      <c r="H67" s="50">
        <f t="shared" si="13"/>
        <v>913821</v>
      </c>
      <c r="I67" s="50">
        <f t="shared" si="13"/>
        <v>1516800</v>
      </c>
      <c r="J67" s="50">
        <f t="shared" si="13"/>
        <v>0</v>
      </c>
      <c r="K67" s="50">
        <f t="shared" si="13"/>
        <v>1114100</v>
      </c>
      <c r="L67" s="50">
        <f t="shared" si="13"/>
        <v>0</v>
      </c>
      <c r="M67" s="50">
        <f t="shared" si="13"/>
        <v>0</v>
      </c>
      <c r="N67" s="50">
        <f t="shared" si="13"/>
        <v>0</v>
      </c>
      <c r="O67" s="38">
        <f t="shared" si="12"/>
        <v>4007563</v>
      </c>
      <c r="Q67" s="61"/>
      <c r="T67" s="61"/>
      <c r="U67" s="61"/>
    </row>
    <row r="68" spans="1:21" s="2" customFormat="1" ht="45" customHeight="1">
      <c r="A68" s="66" t="s">
        <v>87</v>
      </c>
      <c r="B68" s="45" t="s">
        <v>234</v>
      </c>
      <c r="C68" s="40">
        <f>97000-5000</f>
        <v>92000</v>
      </c>
      <c r="D68" s="40"/>
      <c r="E68" s="40">
        <v>35000</v>
      </c>
      <c r="F68" s="40"/>
      <c r="G68" s="40"/>
      <c r="H68" s="40"/>
      <c r="I68" s="40"/>
      <c r="J68" s="40"/>
      <c r="K68" s="40"/>
      <c r="L68" s="40"/>
      <c r="M68" s="40"/>
      <c r="N68" s="40"/>
      <c r="O68" s="38">
        <f t="shared" si="12"/>
        <v>92000</v>
      </c>
      <c r="Q68" s="88"/>
      <c r="T68" s="88"/>
      <c r="U68" s="88"/>
    </row>
    <row r="69" spans="1:21" s="13" customFormat="1" ht="29.25" customHeight="1">
      <c r="A69" s="66" t="s">
        <v>88</v>
      </c>
      <c r="B69" s="67" t="s">
        <v>235</v>
      </c>
      <c r="C69" s="49">
        <f>55000-22100</f>
        <v>32900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38">
        <f t="shared" si="12"/>
        <v>32900</v>
      </c>
      <c r="Q69" s="61"/>
      <c r="T69" s="61"/>
      <c r="U69" s="61"/>
    </row>
    <row r="70" spans="1:21" s="2" customFormat="1" ht="43.5" customHeight="1">
      <c r="A70" s="66" t="s">
        <v>89</v>
      </c>
      <c r="B70" s="67" t="s">
        <v>287</v>
      </c>
      <c r="C70" s="40">
        <v>20000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8">
        <f t="shared" si="12"/>
        <v>20000</v>
      </c>
      <c r="Q70" s="88"/>
      <c r="T70" s="88"/>
      <c r="U70" s="88"/>
    </row>
    <row r="71" spans="1:21" s="2" customFormat="1" ht="29.25" customHeight="1">
      <c r="A71" s="66" t="s">
        <v>138</v>
      </c>
      <c r="B71" s="67" t="s">
        <v>429</v>
      </c>
      <c r="C71" s="40">
        <v>53900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8">
        <f t="shared" si="12"/>
        <v>53900</v>
      </c>
      <c r="Q71" s="88"/>
      <c r="T71" s="88"/>
      <c r="U71" s="88"/>
    </row>
    <row r="72" spans="1:21" s="9" customFormat="1" ht="30" customHeight="1">
      <c r="A72" s="66" t="s">
        <v>139</v>
      </c>
      <c r="B72" s="67" t="s">
        <v>384</v>
      </c>
      <c r="C72" s="48">
        <v>38000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8">
        <f t="shared" si="12"/>
        <v>38000</v>
      </c>
      <c r="Q72" s="61"/>
      <c r="T72" s="61"/>
      <c r="U72" s="61"/>
    </row>
    <row r="73" spans="1:21" s="9" customFormat="1" ht="43.5" customHeight="1">
      <c r="A73" s="66" t="s">
        <v>140</v>
      </c>
      <c r="B73" s="67" t="s">
        <v>236</v>
      </c>
      <c r="C73" s="40">
        <f>303000+21000</f>
        <v>324000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8">
        <f t="shared" si="12"/>
        <v>324000</v>
      </c>
      <c r="Q73" s="61"/>
      <c r="T73" s="61"/>
      <c r="U73" s="61"/>
    </row>
    <row r="74" spans="1:21" s="2" customFormat="1" ht="17.25" customHeight="1">
      <c r="A74" s="66" t="s">
        <v>141</v>
      </c>
      <c r="B74" s="45" t="s">
        <v>265</v>
      </c>
      <c r="C74" s="40">
        <f>6000+1100</f>
        <v>7100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8">
        <f t="shared" si="12"/>
        <v>7100</v>
      </c>
      <c r="Q74" s="88"/>
      <c r="T74" s="88"/>
      <c r="U74" s="88"/>
    </row>
    <row r="75" spans="1:21" s="9" customFormat="1" ht="17.25" customHeight="1">
      <c r="A75" s="66" t="s">
        <v>142</v>
      </c>
      <c r="B75" s="67" t="s">
        <v>40</v>
      </c>
      <c r="C75" s="40">
        <v>15000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38">
        <f t="shared" si="12"/>
        <v>15000</v>
      </c>
      <c r="Q75" s="61"/>
      <c r="T75" s="61"/>
      <c r="U75" s="61"/>
    </row>
    <row r="76" spans="1:21" s="13" customFormat="1" ht="29.25" customHeight="1">
      <c r="A76" s="66" t="s">
        <v>143</v>
      </c>
      <c r="B76" s="67" t="s">
        <v>238</v>
      </c>
      <c r="C76" s="49">
        <f>177500+21100</f>
        <v>198600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38">
        <f t="shared" si="12"/>
        <v>198600</v>
      </c>
      <c r="Q76" s="61"/>
      <c r="T76" s="61"/>
      <c r="U76" s="61"/>
    </row>
    <row r="77" spans="1:21" s="13" customFormat="1" ht="43.5" customHeight="1">
      <c r="A77" s="66" t="s">
        <v>144</v>
      </c>
      <c r="B77" s="67" t="s">
        <v>551</v>
      </c>
      <c r="C77" s="49">
        <f>105000</f>
        <v>105000</v>
      </c>
      <c r="D77" s="49"/>
      <c r="E77" s="49">
        <f>100000+5000</f>
        <v>105000</v>
      </c>
      <c r="F77" s="49"/>
      <c r="G77" s="49"/>
      <c r="H77" s="49"/>
      <c r="I77" s="49"/>
      <c r="J77" s="49"/>
      <c r="K77" s="49"/>
      <c r="L77" s="49"/>
      <c r="M77" s="49"/>
      <c r="N77" s="49"/>
      <c r="O77" s="38">
        <f t="shared" si="12"/>
        <v>105000</v>
      </c>
      <c r="Q77" s="61"/>
      <c r="T77" s="61"/>
      <c r="U77" s="61"/>
    </row>
    <row r="78" spans="1:21" s="2" customFormat="1" ht="16.5" customHeight="1">
      <c r="A78" s="66" t="s">
        <v>264</v>
      </c>
      <c r="B78" s="45" t="s">
        <v>385</v>
      </c>
      <c r="C78" s="40">
        <f>10000-10000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8">
        <f t="shared" si="12"/>
        <v>0</v>
      </c>
      <c r="Q78" s="88"/>
      <c r="T78" s="88"/>
      <c r="U78" s="88"/>
    </row>
    <row r="79" spans="1:21" s="2" customFormat="1" ht="16.5" customHeight="1">
      <c r="A79" s="66" t="s">
        <v>302</v>
      </c>
      <c r="B79" s="45" t="s">
        <v>237</v>
      </c>
      <c r="C79" s="40">
        <v>12000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38">
        <f>C79+F79+I79+L79</f>
        <v>12000</v>
      </c>
      <c r="Q79" s="88"/>
      <c r="T79" s="88"/>
      <c r="U79" s="88"/>
    </row>
    <row r="80" spans="1:21" s="2" customFormat="1" ht="16.5" customHeight="1">
      <c r="A80" s="66" t="s">
        <v>387</v>
      </c>
      <c r="B80" s="67" t="s">
        <v>430</v>
      </c>
      <c r="C80" s="40">
        <v>23000</v>
      </c>
      <c r="D80" s="42"/>
      <c r="E80" s="40">
        <v>11822</v>
      </c>
      <c r="F80" s="42"/>
      <c r="G80" s="42"/>
      <c r="H80" s="42"/>
      <c r="I80" s="42"/>
      <c r="J80" s="42"/>
      <c r="K80" s="42"/>
      <c r="L80" s="42"/>
      <c r="M80" s="42"/>
      <c r="N80" s="42"/>
      <c r="O80" s="38">
        <f>C80+F80+I80+L80</f>
        <v>23000</v>
      </c>
      <c r="Q80" s="88"/>
      <c r="T80" s="88"/>
      <c r="U80" s="88"/>
    </row>
    <row r="81" spans="1:21" s="2" customFormat="1" ht="44.25" customHeight="1">
      <c r="A81" s="66" t="s">
        <v>389</v>
      </c>
      <c r="B81" s="45" t="s">
        <v>386</v>
      </c>
      <c r="C81" s="40">
        <f>24800-12775</f>
        <v>12025</v>
      </c>
      <c r="D81" s="40"/>
      <c r="E81" s="40">
        <v>12025</v>
      </c>
      <c r="F81" s="40">
        <f>12775+15925</f>
        <v>28700</v>
      </c>
      <c r="G81" s="40"/>
      <c r="H81" s="40">
        <f>12775+15925</f>
        <v>28700</v>
      </c>
      <c r="I81" s="40"/>
      <c r="J81" s="40"/>
      <c r="K81" s="40"/>
      <c r="L81" s="40"/>
      <c r="M81" s="40"/>
      <c r="N81" s="40"/>
      <c r="O81" s="38">
        <f t="shared" si="12"/>
        <v>40725</v>
      </c>
      <c r="Q81" s="88"/>
      <c r="T81" s="88"/>
      <c r="U81" s="88"/>
    </row>
    <row r="82" spans="1:21" s="13" customFormat="1" ht="30" customHeight="1">
      <c r="A82" s="66" t="s">
        <v>390</v>
      </c>
      <c r="B82" s="45" t="s">
        <v>388</v>
      </c>
      <c r="C82" s="49"/>
      <c r="D82" s="49"/>
      <c r="E82" s="49"/>
      <c r="F82" s="49">
        <v>2223</v>
      </c>
      <c r="G82" s="49"/>
      <c r="H82" s="49">
        <v>2223</v>
      </c>
      <c r="I82" s="49"/>
      <c r="J82" s="49"/>
      <c r="K82" s="49"/>
      <c r="L82" s="49"/>
      <c r="M82" s="49"/>
      <c r="N82" s="49"/>
      <c r="O82" s="38">
        <f t="shared" si="12"/>
        <v>2223</v>
      </c>
      <c r="Q82" s="61"/>
      <c r="T82" s="61"/>
      <c r="U82" s="61"/>
    </row>
    <row r="83" spans="1:21" s="2" customFormat="1" ht="30.75" customHeight="1">
      <c r="A83" s="66" t="s">
        <v>431</v>
      </c>
      <c r="B83" s="45" t="s">
        <v>432</v>
      </c>
      <c r="C83" s="40"/>
      <c r="D83" s="40"/>
      <c r="E83" s="40"/>
      <c r="F83" s="40">
        <f>319577+58305</f>
        <v>377882</v>
      </c>
      <c r="G83" s="40"/>
      <c r="H83" s="40">
        <f>319577+58305</f>
        <v>377882</v>
      </c>
      <c r="I83" s="40"/>
      <c r="J83" s="40"/>
      <c r="K83" s="40"/>
      <c r="L83" s="40"/>
      <c r="M83" s="40"/>
      <c r="N83" s="40"/>
      <c r="O83" s="38">
        <f t="shared" si="12"/>
        <v>377882</v>
      </c>
      <c r="Q83" s="88"/>
      <c r="T83" s="88"/>
      <c r="U83" s="88"/>
    </row>
    <row r="84" spans="1:21" s="2" customFormat="1" ht="44.25" customHeight="1">
      <c r="A84" s="66" t="s">
        <v>433</v>
      </c>
      <c r="B84" s="45" t="s">
        <v>533</v>
      </c>
      <c r="C84" s="40"/>
      <c r="D84" s="40"/>
      <c r="E84" s="40"/>
      <c r="F84" s="40">
        <f>39422+126943</f>
        <v>166365</v>
      </c>
      <c r="G84" s="40"/>
      <c r="H84" s="40">
        <f>39422+126943</f>
        <v>166365</v>
      </c>
      <c r="I84" s="40"/>
      <c r="J84" s="40"/>
      <c r="K84" s="40"/>
      <c r="L84" s="40"/>
      <c r="M84" s="40"/>
      <c r="N84" s="40"/>
      <c r="O84" s="38">
        <f t="shared" si="12"/>
        <v>166365</v>
      </c>
      <c r="Q84" s="88"/>
      <c r="T84" s="88"/>
      <c r="U84" s="88"/>
    </row>
    <row r="85" spans="1:21" s="2" customFormat="1" ht="44.25" customHeight="1">
      <c r="A85" s="66" t="s">
        <v>434</v>
      </c>
      <c r="B85" s="45" t="s">
        <v>534</v>
      </c>
      <c r="C85" s="40"/>
      <c r="D85" s="40"/>
      <c r="E85" s="40"/>
      <c r="F85" s="40">
        <f>73960+4384</f>
        <v>78344</v>
      </c>
      <c r="G85" s="40"/>
      <c r="H85" s="40">
        <f>73960+4384</f>
        <v>78344</v>
      </c>
      <c r="I85" s="40"/>
      <c r="J85" s="40"/>
      <c r="K85" s="40"/>
      <c r="L85" s="40"/>
      <c r="M85" s="40"/>
      <c r="N85" s="40"/>
      <c r="O85" s="38">
        <f t="shared" si="12"/>
        <v>78344</v>
      </c>
      <c r="Q85" s="88"/>
      <c r="T85" s="88"/>
      <c r="U85" s="88"/>
    </row>
    <row r="86" spans="1:21" s="2" customFormat="1" ht="44.25" customHeight="1">
      <c r="A86" s="66" t="s">
        <v>435</v>
      </c>
      <c r="B86" s="45" t="s">
        <v>535</v>
      </c>
      <c r="C86" s="40"/>
      <c r="D86" s="40"/>
      <c r="E86" s="40"/>
      <c r="F86" s="40">
        <v>6000</v>
      </c>
      <c r="G86" s="40"/>
      <c r="H86" s="40">
        <v>6000</v>
      </c>
      <c r="I86" s="40"/>
      <c r="J86" s="40"/>
      <c r="K86" s="40"/>
      <c r="L86" s="40"/>
      <c r="M86" s="40"/>
      <c r="N86" s="40"/>
      <c r="O86" s="38">
        <f t="shared" si="12"/>
        <v>6000</v>
      </c>
      <c r="Q86" s="88"/>
      <c r="T86" s="88"/>
      <c r="U86" s="88"/>
    </row>
    <row r="87" spans="1:21" s="2" customFormat="1" ht="59.25" customHeight="1">
      <c r="A87" s="66" t="s">
        <v>436</v>
      </c>
      <c r="B87" s="45" t="s">
        <v>437</v>
      </c>
      <c r="C87" s="40"/>
      <c r="D87" s="40"/>
      <c r="E87" s="40"/>
      <c r="F87" s="40"/>
      <c r="G87" s="40"/>
      <c r="H87" s="40"/>
      <c r="I87" s="40">
        <f>1335300+181500</f>
        <v>1516800</v>
      </c>
      <c r="J87" s="40"/>
      <c r="K87" s="40">
        <f>1116800-2700</f>
        <v>1114100</v>
      </c>
      <c r="L87" s="40"/>
      <c r="M87" s="40"/>
      <c r="N87" s="40"/>
      <c r="O87" s="38">
        <f t="shared" si="12"/>
        <v>1516800</v>
      </c>
      <c r="Q87" s="88"/>
      <c r="T87" s="88"/>
      <c r="U87" s="88"/>
    </row>
    <row r="88" spans="1:21" s="2" customFormat="1" ht="32.25" customHeight="1">
      <c r="A88" s="66" t="s">
        <v>438</v>
      </c>
      <c r="B88" s="30" t="s">
        <v>439</v>
      </c>
      <c r="C88" s="40"/>
      <c r="D88" s="40"/>
      <c r="E88" s="40"/>
      <c r="F88" s="40">
        <v>27950</v>
      </c>
      <c r="G88" s="40"/>
      <c r="H88" s="40">
        <v>27950</v>
      </c>
      <c r="I88" s="40"/>
      <c r="J88" s="40"/>
      <c r="K88" s="40"/>
      <c r="L88" s="40"/>
      <c r="M88" s="40"/>
      <c r="N88" s="40"/>
      <c r="O88" s="38">
        <f t="shared" si="12"/>
        <v>27950</v>
      </c>
      <c r="Q88" s="88"/>
      <c r="T88" s="88"/>
      <c r="U88" s="88"/>
    </row>
    <row r="89" spans="1:21" s="9" customFormat="1" ht="30.75" customHeight="1">
      <c r="A89" s="66" t="s">
        <v>440</v>
      </c>
      <c r="B89" s="30" t="s">
        <v>441</v>
      </c>
      <c r="C89" s="40"/>
      <c r="D89" s="42"/>
      <c r="E89" s="42"/>
      <c r="F89" s="40">
        <v>8228</v>
      </c>
      <c r="G89" s="40"/>
      <c r="H89" s="40">
        <v>8228</v>
      </c>
      <c r="I89" s="42"/>
      <c r="J89" s="42"/>
      <c r="K89" s="42"/>
      <c r="L89" s="42"/>
      <c r="M89" s="42"/>
      <c r="N89" s="42"/>
      <c r="O89" s="38">
        <f t="shared" si="12"/>
        <v>8228</v>
      </c>
      <c r="Q89" s="61"/>
      <c r="T89" s="61"/>
      <c r="U89" s="61"/>
    </row>
    <row r="90" spans="1:21" s="9" customFormat="1" ht="48.75" customHeight="1">
      <c r="A90" s="66" t="s">
        <v>540</v>
      </c>
      <c r="B90" s="30" t="s">
        <v>541</v>
      </c>
      <c r="C90" s="40"/>
      <c r="D90" s="42"/>
      <c r="E90" s="42"/>
      <c r="F90" s="40">
        <f>62606+30847</f>
        <v>93453</v>
      </c>
      <c r="G90" s="40"/>
      <c r="H90" s="40">
        <f>62606+30847</f>
        <v>93453</v>
      </c>
      <c r="I90" s="42"/>
      <c r="J90" s="42"/>
      <c r="K90" s="42"/>
      <c r="L90" s="42"/>
      <c r="M90" s="42"/>
      <c r="N90" s="42"/>
      <c r="O90" s="38">
        <f t="shared" si="12"/>
        <v>93453</v>
      </c>
      <c r="Q90" s="61"/>
      <c r="T90" s="61"/>
      <c r="U90" s="61"/>
    </row>
    <row r="91" spans="1:21" s="9" customFormat="1" ht="33.75" customHeight="1">
      <c r="A91" s="66" t="s">
        <v>552</v>
      </c>
      <c r="B91" s="30" t="s">
        <v>553</v>
      </c>
      <c r="C91" s="40"/>
      <c r="D91" s="42"/>
      <c r="E91" s="42"/>
      <c r="F91" s="40">
        <v>124676</v>
      </c>
      <c r="G91" s="40"/>
      <c r="H91" s="40">
        <v>124676</v>
      </c>
      <c r="I91" s="42"/>
      <c r="J91" s="42"/>
      <c r="K91" s="42"/>
      <c r="L91" s="42"/>
      <c r="M91" s="42"/>
      <c r="N91" s="42"/>
      <c r="O91" s="38">
        <f t="shared" si="12"/>
        <v>124676</v>
      </c>
      <c r="Q91" s="61"/>
      <c r="T91" s="61"/>
      <c r="U91" s="61"/>
    </row>
    <row r="92" spans="1:21" s="1" customFormat="1" ht="29.25" customHeight="1">
      <c r="A92" s="40" t="s">
        <v>73</v>
      </c>
      <c r="B92" s="45" t="s">
        <v>239</v>
      </c>
      <c r="C92" s="40">
        <f aca="true" t="shared" si="14" ref="C92:O92">SUM(C93:C104)</f>
        <v>643417</v>
      </c>
      <c r="D92" s="38">
        <f t="shared" si="14"/>
        <v>0</v>
      </c>
      <c r="E92" s="40">
        <f t="shared" si="14"/>
        <v>0</v>
      </c>
      <c r="F92" s="38">
        <f t="shared" si="14"/>
        <v>0</v>
      </c>
      <c r="G92" s="38">
        <f t="shared" si="14"/>
        <v>0</v>
      </c>
      <c r="H92" s="38">
        <f t="shared" si="14"/>
        <v>0</v>
      </c>
      <c r="I92" s="38">
        <f t="shared" si="14"/>
        <v>0</v>
      </c>
      <c r="J92" s="38">
        <f t="shared" si="14"/>
        <v>0</v>
      </c>
      <c r="K92" s="38">
        <f t="shared" si="14"/>
        <v>0</v>
      </c>
      <c r="L92" s="38">
        <f t="shared" si="14"/>
        <v>0</v>
      </c>
      <c r="M92" s="38">
        <f t="shared" si="14"/>
        <v>0</v>
      </c>
      <c r="N92" s="38">
        <f t="shared" si="14"/>
        <v>0</v>
      </c>
      <c r="O92" s="38">
        <f t="shared" si="14"/>
        <v>643417</v>
      </c>
      <c r="Q92" s="20"/>
      <c r="T92" s="20"/>
      <c r="U92" s="20"/>
    </row>
    <row r="93" spans="1:21" s="2" customFormat="1" ht="15" customHeight="1">
      <c r="A93" s="39" t="s">
        <v>90</v>
      </c>
      <c r="B93" s="45" t="s">
        <v>12</v>
      </c>
      <c r="C93" s="40">
        <f>14700+1900</f>
        <v>16600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38">
        <f t="shared" si="12"/>
        <v>16600</v>
      </c>
      <c r="Q93" s="88"/>
      <c r="T93" s="88"/>
      <c r="U93" s="88"/>
    </row>
    <row r="94" spans="1:21" s="2" customFormat="1" ht="15" customHeight="1">
      <c r="A94" s="66" t="s">
        <v>91</v>
      </c>
      <c r="B94" s="45" t="s">
        <v>11</v>
      </c>
      <c r="C94" s="40">
        <f>7600+1600</f>
        <v>9200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38">
        <f t="shared" si="12"/>
        <v>9200</v>
      </c>
      <c r="Q94" s="88"/>
      <c r="T94" s="88"/>
      <c r="U94" s="88"/>
    </row>
    <row r="95" spans="1:21" s="1" customFormat="1" ht="15" customHeight="1">
      <c r="A95" s="66" t="s">
        <v>92</v>
      </c>
      <c r="B95" s="45" t="s">
        <v>10</v>
      </c>
      <c r="C95" s="40">
        <f>5700-1700</f>
        <v>4000</v>
      </c>
      <c r="D95" s="38">
        <f aca="true" t="shared" si="15" ref="D95:N95">SUM(D96)</f>
        <v>0</v>
      </c>
      <c r="E95" s="38">
        <f t="shared" si="15"/>
        <v>0</v>
      </c>
      <c r="F95" s="38">
        <f t="shared" si="15"/>
        <v>0</v>
      </c>
      <c r="G95" s="38">
        <f t="shared" si="15"/>
        <v>0</v>
      </c>
      <c r="H95" s="38">
        <f t="shared" si="15"/>
        <v>0</v>
      </c>
      <c r="I95" s="38">
        <f t="shared" si="15"/>
        <v>0</v>
      </c>
      <c r="J95" s="38"/>
      <c r="K95" s="38">
        <f t="shared" si="15"/>
        <v>0</v>
      </c>
      <c r="L95" s="38">
        <f t="shared" si="15"/>
        <v>0</v>
      </c>
      <c r="M95" s="38">
        <f t="shared" si="15"/>
        <v>0</v>
      </c>
      <c r="N95" s="38">
        <f t="shared" si="15"/>
        <v>0</v>
      </c>
      <c r="O95" s="38">
        <f t="shared" si="12"/>
        <v>4000</v>
      </c>
      <c r="Q95" s="20"/>
      <c r="T95" s="20"/>
      <c r="U95" s="20"/>
    </row>
    <row r="96" spans="1:21" s="2" customFormat="1" ht="15" customHeight="1">
      <c r="A96" s="66" t="s">
        <v>145</v>
      </c>
      <c r="B96" s="45" t="s">
        <v>9</v>
      </c>
      <c r="C96" s="40">
        <f>14700+4000</f>
        <v>18700</v>
      </c>
      <c r="D96" s="40"/>
      <c r="E96" s="40"/>
      <c r="F96" s="38"/>
      <c r="G96" s="40"/>
      <c r="H96" s="40"/>
      <c r="I96" s="38"/>
      <c r="J96" s="38"/>
      <c r="K96" s="40"/>
      <c r="L96" s="38"/>
      <c r="M96" s="40"/>
      <c r="N96" s="40"/>
      <c r="O96" s="38">
        <f t="shared" si="12"/>
        <v>18700</v>
      </c>
      <c r="Q96" s="88"/>
      <c r="T96" s="88"/>
      <c r="U96" s="88"/>
    </row>
    <row r="97" spans="1:21" s="2" customFormat="1" ht="15" customHeight="1">
      <c r="A97" s="66" t="s">
        <v>146</v>
      </c>
      <c r="B97" s="45" t="s">
        <v>8</v>
      </c>
      <c r="C97" s="40">
        <f>13400-700</f>
        <v>12700</v>
      </c>
      <c r="D97" s="40"/>
      <c r="E97" s="40"/>
      <c r="F97" s="38"/>
      <c r="G97" s="40"/>
      <c r="H97" s="40"/>
      <c r="I97" s="38"/>
      <c r="J97" s="38"/>
      <c r="K97" s="40"/>
      <c r="L97" s="38"/>
      <c r="M97" s="40"/>
      <c r="N97" s="40"/>
      <c r="O97" s="38">
        <f t="shared" si="12"/>
        <v>12700</v>
      </c>
      <c r="Q97" s="88"/>
      <c r="T97" s="88"/>
      <c r="U97" s="88"/>
    </row>
    <row r="98" spans="1:21" s="2" customFormat="1" ht="15" customHeight="1">
      <c r="A98" s="66" t="s">
        <v>147</v>
      </c>
      <c r="B98" s="45" t="s">
        <v>7</v>
      </c>
      <c r="C98" s="40">
        <f>12500-3000</f>
        <v>9500</v>
      </c>
      <c r="D98" s="40"/>
      <c r="E98" s="40"/>
      <c r="F98" s="38"/>
      <c r="G98" s="40"/>
      <c r="H98" s="40"/>
      <c r="I98" s="38"/>
      <c r="J98" s="38"/>
      <c r="K98" s="40"/>
      <c r="L98" s="38"/>
      <c r="M98" s="40"/>
      <c r="N98" s="40"/>
      <c r="O98" s="38">
        <f t="shared" si="12"/>
        <v>9500</v>
      </c>
      <c r="Q98" s="88"/>
      <c r="T98" s="88"/>
      <c r="U98" s="88"/>
    </row>
    <row r="99" spans="1:21" s="2" customFormat="1" ht="15" customHeight="1">
      <c r="A99" s="66" t="s">
        <v>148</v>
      </c>
      <c r="B99" s="45" t="s">
        <v>6</v>
      </c>
      <c r="C99" s="40">
        <f>12000-1783</f>
        <v>10217</v>
      </c>
      <c r="D99" s="40"/>
      <c r="E99" s="40"/>
      <c r="F99" s="38"/>
      <c r="G99" s="40"/>
      <c r="H99" s="40"/>
      <c r="I99" s="38"/>
      <c r="J99" s="38"/>
      <c r="K99" s="40"/>
      <c r="L99" s="38"/>
      <c r="M99" s="40"/>
      <c r="N99" s="40"/>
      <c r="O99" s="38">
        <f t="shared" si="12"/>
        <v>10217</v>
      </c>
      <c r="Q99" s="88"/>
      <c r="T99" s="88"/>
      <c r="U99" s="88"/>
    </row>
    <row r="100" spans="1:21" s="2" customFormat="1" ht="15" customHeight="1">
      <c r="A100" s="66" t="s">
        <v>149</v>
      </c>
      <c r="B100" s="45" t="s">
        <v>5</v>
      </c>
      <c r="C100" s="40">
        <f>7600+1300</f>
        <v>8900</v>
      </c>
      <c r="D100" s="40"/>
      <c r="E100" s="40"/>
      <c r="F100" s="38"/>
      <c r="G100" s="40"/>
      <c r="H100" s="40"/>
      <c r="I100" s="38"/>
      <c r="J100" s="38"/>
      <c r="K100" s="40"/>
      <c r="L100" s="38"/>
      <c r="M100" s="40"/>
      <c r="N100" s="40"/>
      <c r="O100" s="38">
        <f t="shared" si="12"/>
        <v>8900</v>
      </c>
      <c r="Q100" s="88"/>
      <c r="T100" s="88"/>
      <c r="U100" s="88"/>
    </row>
    <row r="101" spans="1:21" s="2" customFormat="1" ht="15" customHeight="1">
      <c r="A101" s="66" t="s">
        <v>150</v>
      </c>
      <c r="B101" s="45" t="s">
        <v>4</v>
      </c>
      <c r="C101" s="40">
        <f>11500+3900</f>
        <v>15400</v>
      </c>
      <c r="D101" s="40"/>
      <c r="E101" s="40"/>
      <c r="F101" s="38"/>
      <c r="G101" s="40"/>
      <c r="H101" s="40"/>
      <c r="I101" s="38"/>
      <c r="J101" s="38"/>
      <c r="K101" s="40"/>
      <c r="L101" s="38"/>
      <c r="M101" s="40"/>
      <c r="N101" s="40"/>
      <c r="O101" s="38">
        <f t="shared" si="12"/>
        <v>15400</v>
      </c>
      <c r="Q101" s="88"/>
      <c r="T101" s="88"/>
      <c r="U101" s="88"/>
    </row>
    <row r="102" spans="1:21" s="2" customFormat="1" ht="15" customHeight="1">
      <c r="A102" s="71" t="s">
        <v>151</v>
      </c>
      <c r="B102" s="45" t="s">
        <v>3</v>
      </c>
      <c r="C102" s="40">
        <f>10600+1100</f>
        <v>11700</v>
      </c>
      <c r="D102" s="40"/>
      <c r="E102" s="40"/>
      <c r="F102" s="38"/>
      <c r="G102" s="40"/>
      <c r="H102" s="40"/>
      <c r="I102" s="38"/>
      <c r="J102" s="38"/>
      <c r="K102" s="40"/>
      <c r="L102" s="38"/>
      <c r="M102" s="40"/>
      <c r="N102" s="40"/>
      <c r="O102" s="38">
        <f t="shared" si="12"/>
        <v>11700</v>
      </c>
      <c r="Q102" s="88"/>
      <c r="T102" s="88"/>
      <c r="U102" s="88"/>
    </row>
    <row r="103" spans="1:21" s="2" customFormat="1" ht="15" customHeight="1">
      <c r="A103" s="71" t="s">
        <v>152</v>
      </c>
      <c r="B103" s="45" t="s">
        <v>2</v>
      </c>
      <c r="C103" s="40">
        <f>10900+600</f>
        <v>11500</v>
      </c>
      <c r="D103" s="40"/>
      <c r="E103" s="40"/>
      <c r="F103" s="38"/>
      <c r="G103" s="40"/>
      <c r="H103" s="40"/>
      <c r="I103" s="38"/>
      <c r="J103" s="38"/>
      <c r="K103" s="40"/>
      <c r="L103" s="38"/>
      <c r="M103" s="40"/>
      <c r="N103" s="40"/>
      <c r="O103" s="38">
        <f t="shared" si="12"/>
        <v>11500</v>
      </c>
      <c r="Q103" s="88"/>
      <c r="T103" s="88"/>
      <c r="U103" s="88"/>
    </row>
    <row r="104" spans="1:21" s="9" customFormat="1" ht="15" customHeight="1">
      <c r="A104" s="66" t="s">
        <v>207</v>
      </c>
      <c r="B104" s="67" t="s">
        <v>442</v>
      </c>
      <c r="C104" s="40">
        <f>500000+15000</f>
        <v>515000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38">
        <f>C104+F104+I104+L104</f>
        <v>515000</v>
      </c>
      <c r="Q104" s="61"/>
      <c r="T104" s="61"/>
      <c r="U104" s="61"/>
    </row>
    <row r="105" spans="1:21" s="2" customFormat="1" ht="18" customHeight="1">
      <c r="A105" s="38" t="s">
        <v>74</v>
      </c>
      <c r="B105" s="72" t="s">
        <v>153</v>
      </c>
      <c r="C105" s="38">
        <f>20600+12000</f>
        <v>32600</v>
      </c>
      <c r="D105" s="38">
        <f>14200+572</f>
        <v>14772</v>
      </c>
      <c r="E105" s="38">
        <v>12000</v>
      </c>
      <c r="F105" s="38">
        <v>446600</v>
      </c>
      <c r="G105" s="38">
        <v>417600</v>
      </c>
      <c r="H105" s="38"/>
      <c r="I105" s="38"/>
      <c r="J105" s="38"/>
      <c r="K105" s="38"/>
      <c r="L105" s="38"/>
      <c r="M105" s="38"/>
      <c r="N105" s="38"/>
      <c r="O105" s="38">
        <f>C105+F105+I105+L105</f>
        <v>479200</v>
      </c>
      <c r="Q105" s="88"/>
      <c r="T105" s="88"/>
      <c r="U105" s="88"/>
    </row>
    <row r="106" spans="1:21" s="1" customFormat="1" ht="18.75" customHeight="1">
      <c r="A106" s="68"/>
      <c r="B106" s="123" t="s">
        <v>293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Q106" s="20"/>
      <c r="T106" s="20"/>
      <c r="U106" s="20"/>
    </row>
    <row r="107" spans="1:21" s="9" customFormat="1" ht="16.5" customHeight="1">
      <c r="A107" s="40"/>
      <c r="B107" s="64" t="s">
        <v>39</v>
      </c>
      <c r="C107" s="50">
        <f aca="true" t="shared" si="16" ref="C107:O107">C108+C114+C121+C125</f>
        <v>188000</v>
      </c>
      <c r="D107" s="50">
        <f t="shared" si="16"/>
        <v>0</v>
      </c>
      <c r="E107" s="50">
        <f t="shared" si="16"/>
        <v>80000</v>
      </c>
      <c r="F107" s="50">
        <f t="shared" si="16"/>
        <v>462500</v>
      </c>
      <c r="G107" s="50">
        <f t="shared" si="16"/>
        <v>183046</v>
      </c>
      <c r="H107" s="50">
        <f t="shared" si="16"/>
        <v>200000</v>
      </c>
      <c r="I107" s="50">
        <f t="shared" si="16"/>
        <v>0</v>
      </c>
      <c r="J107" s="50">
        <f t="shared" si="16"/>
        <v>0</v>
      </c>
      <c r="K107" s="50">
        <f t="shared" si="16"/>
        <v>0</v>
      </c>
      <c r="L107" s="50">
        <f t="shared" si="16"/>
        <v>833697</v>
      </c>
      <c r="M107" s="50">
        <f t="shared" si="16"/>
        <v>0</v>
      </c>
      <c r="N107" s="50">
        <f t="shared" si="16"/>
        <v>0</v>
      </c>
      <c r="O107" s="50">
        <f t="shared" si="16"/>
        <v>1484197</v>
      </c>
      <c r="P107" s="92">
        <v>0</v>
      </c>
      <c r="Q107" s="92">
        <f>SUM(O107:P107)</f>
        <v>1484197</v>
      </c>
      <c r="T107" s="92"/>
      <c r="U107" s="92"/>
    </row>
    <row r="108" spans="1:21" s="9" customFormat="1" ht="30" customHeight="1">
      <c r="A108" s="38" t="s">
        <v>75</v>
      </c>
      <c r="B108" s="64" t="s">
        <v>300</v>
      </c>
      <c r="C108" s="50">
        <f>SUM(C109,C112,C111,C113)</f>
        <v>0</v>
      </c>
      <c r="D108" s="50">
        <f aca="true" t="shared" si="17" ref="D108:K108">SUM(D109,D112,D111,D113)</f>
        <v>0</v>
      </c>
      <c r="E108" s="50">
        <f t="shared" si="17"/>
        <v>0</v>
      </c>
      <c r="F108" s="50">
        <f t="shared" si="17"/>
        <v>0</v>
      </c>
      <c r="G108" s="50">
        <f t="shared" si="17"/>
        <v>0</v>
      </c>
      <c r="H108" s="50">
        <f t="shared" si="17"/>
        <v>0</v>
      </c>
      <c r="I108" s="50">
        <f t="shared" si="17"/>
        <v>0</v>
      </c>
      <c r="J108" s="50"/>
      <c r="K108" s="50">
        <f t="shared" si="17"/>
        <v>0</v>
      </c>
      <c r="L108" s="50">
        <f>SUM(L109:L113)</f>
        <v>101896</v>
      </c>
      <c r="M108" s="50">
        <f>SUM(M109:M113)</f>
        <v>0</v>
      </c>
      <c r="N108" s="50">
        <f>SUM(N109:N113)</f>
        <v>0</v>
      </c>
      <c r="O108" s="38">
        <f aca="true" t="shared" si="18" ref="O108:O128">C108+F108+I108+L108</f>
        <v>101896</v>
      </c>
      <c r="Q108" s="61"/>
      <c r="T108" s="61"/>
      <c r="U108" s="61"/>
    </row>
    <row r="109" spans="1:21" s="13" customFormat="1" ht="29.25" customHeight="1">
      <c r="A109" s="66" t="s">
        <v>93</v>
      </c>
      <c r="B109" s="67" t="s">
        <v>244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>
        <v>15000</v>
      </c>
      <c r="M109" s="49"/>
      <c r="N109" s="49"/>
      <c r="O109" s="38">
        <f t="shared" si="18"/>
        <v>15000</v>
      </c>
      <c r="Q109" s="61"/>
      <c r="T109" s="61"/>
      <c r="U109" s="61"/>
    </row>
    <row r="110" spans="1:21" s="13" customFormat="1" ht="29.25" customHeight="1">
      <c r="A110" s="73" t="s">
        <v>94</v>
      </c>
      <c r="B110" s="67" t="s">
        <v>241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>
        <f>19000+15132+5783+1</f>
        <v>39916</v>
      </c>
      <c r="M110" s="74"/>
      <c r="N110" s="74"/>
      <c r="O110" s="38">
        <f t="shared" si="18"/>
        <v>39916</v>
      </c>
      <c r="Q110" s="61"/>
      <c r="T110" s="61"/>
      <c r="U110" s="61"/>
    </row>
    <row r="111" spans="1:21" s="10" customFormat="1" ht="16.5" customHeight="1">
      <c r="A111" s="73" t="s">
        <v>95</v>
      </c>
      <c r="B111" s="75" t="s">
        <v>245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>
        <f>1000</f>
        <v>1000</v>
      </c>
      <c r="M111" s="46"/>
      <c r="N111" s="46"/>
      <c r="O111" s="38">
        <f t="shared" si="18"/>
        <v>1000</v>
      </c>
      <c r="Q111" s="57"/>
      <c r="T111" s="57"/>
      <c r="U111" s="57"/>
    </row>
    <row r="112" spans="1:21" s="13" customFormat="1" ht="30" customHeight="1">
      <c r="A112" s="66" t="s">
        <v>154</v>
      </c>
      <c r="B112" s="67" t="s">
        <v>288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>
        <f>25000+5980</f>
        <v>30980</v>
      </c>
      <c r="M112" s="49"/>
      <c r="N112" s="49"/>
      <c r="O112" s="38">
        <f t="shared" si="18"/>
        <v>30980</v>
      </c>
      <c r="Q112" s="61"/>
      <c r="T112" s="61"/>
      <c r="U112" s="61"/>
    </row>
    <row r="113" spans="1:21" s="10" customFormat="1" ht="18" customHeight="1">
      <c r="A113" s="66" t="s">
        <v>240</v>
      </c>
      <c r="B113" s="67" t="s">
        <v>41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>
        <f>9217+5783</f>
        <v>15000</v>
      </c>
      <c r="M113" s="40"/>
      <c r="N113" s="40"/>
      <c r="O113" s="38">
        <f t="shared" si="18"/>
        <v>15000</v>
      </c>
      <c r="Q113" s="57"/>
      <c r="T113" s="57"/>
      <c r="U113" s="57"/>
    </row>
    <row r="114" spans="1:21" s="11" customFormat="1" ht="18.75" customHeight="1">
      <c r="A114" s="38" t="s">
        <v>76</v>
      </c>
      <c r="B114" s="64" t="s">
        <v>52</v>
      </c>
      <c r="C114" s="38">
        <f aca="true" t="shared" si="19" ref="C114:N114">SUM(C115:C120)</f>
        <v>188000</v>
      </c>
      <c r="D114" s="38">
        <f t="shared" si="19"/>
        <v>0</v>
      </c>
      <c r="E114" s="38">
        <f t="shared" si="19"/>
        <v>80000</v>
      </c>
      <c r="F114" s="38">
        <f t="shared" si="19"/>
        <v>200300</v>
      </c>
      <c r="G114" s="38">
        <f t="shared" si="19"/>
        <v>246</v>
      </c>
      <c r="H114" s="38">
        <f t="shared" si="19"/>
        <v>200000</v>
      </c>
      <c r="I114" s="38">
        <f t="shared" si="19"/>
        <v>0</v>
      </c>
      <c r="J114" s="38">
        <f t="shared" si="19"/>
        <v>0</v>
      </c>
      <c r="K114" s="38">
        <f t="shared" si="19"/>
        <v>0</v>
      </c>
      <c r="L114" s="38">
        <f t="shared" si="19"/>
        <v>700000</v>
      </c>
      <c r="M114" s="38">
        <f t="shared" si="19"/>
        <v>0</v>
      </c>
      <c r="N114" s="38">
        <f t="shared" si="19"/>
        <v>0</v>
      </c>
      <c r="O114" s="38">
        <f t="shared" si="18"/>
        <v>1088300</v>
      </c>
      <c r="Q114" s="92"/>
      <c r="T114" s="92"/>
      <c r="U114" s="92"/>
    </row>
    <row r="115" spans="1:21" s="9" customFormat="1" ht="30" customHeight="1">
      <c r="A115" s="66" t="s">
        <v>194</v>
      </c>
      <c r="B115" s="67" t="s">
        <v>391</v>
      </c>
      <c r="C115" s="49">
        <f>20000+3000</f>
        <v>23000</v>
      </c>
      <c r="D115" s="49"/>
      <c r="E115" s="49"/>
      <c r="F115" s="49"/>
      <c r="G115" s="49"/>
      <c r="H115" s="49"/>
      <c r="I115" s="49">
        <f>K115</f>
        <v>0</v>
      </c>
      <c r="J115" s="49"/>
      <c r="K115" s="49"/>
      <c r="L115" s="49"/>
      <c r="M115" s="49"/>
      <c r="N115" s="49"/>
      <c r="O115" s="38">
        <f t="shared" si="18"/>
        <v>23000</v>
      </c>
      <c r="Q115" s="61"/>
      <c r="T115" s="61"/>
      <c r="U115" s="61"/>
    </row>
    <row r="116" spans="1:21" s="13" customFormat="1" ht="58.5" customHeight="1">
      <c r="A116" s="39" t="s">
        <v>96</v>
      </c>
      <c r="B116" s="67" t="s">
        <v>554</v>
      </c>
      <c r="C116" s="49">
        <f>60000+32000</f>
        <v>92000</v>
      </c>
      <c r="D116" s="49"/>
      <c r="E116" s="49">
        <v>15000</v>
      </c>
      <c r="F116" s="49">
        <v>200000</v>
      </c>
      <c r="G116" s="49"/>
      <c r="H116" s="49">
        <v>200000</v>
      </c>
      <c r="I116" s="49"/>
      <c r="J116" s="49"/>
      <c r="K116" s="49"/>
      <c r="L116" s="49"/>
      <c r="M116" s="49"/>
      <c r="N116" s="49"/>
      <c r="O116" s="38">
        <f t="shared" si="18"/>
        <v>292000</v>
      </c>
      <c r="Q116" s="61"/>
      <c r="T116" s="61"/>
      <c r="U116" s="61"/>
    </row>
    <row r="117" spans="1:21" s="9" customFormat="1" ht="30" customHeight="1">
      <c r="A117" s="66" t="s">
        <v>97</v>
      </c>
      <c r="B117" s="67" t="s">
        <v>443</v>
      </c>
      <c r="C117" s="49">
        <f>5000+3000</f>
        <v>8000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38">
        <f t="shared" si="18"/>
        <v>8000</v>
      </c>
      <c r="Q117" s="61"/>
      <c r="T117" s="61"/>
      <c r="U117" s="61"/>
    </row>
    <row r="118" spans="1:21" s="9" customFormat="1" ht="15.75" customHeight="1">
      <c r="A118" s="39" t="s">
        <v>219</v>
      </c>
      <c r="B118" s="67" t="s">
        <v>271</v>
      </c>
      <c r="C118" s="49"/>
      <c r="D118" s="50"/>
      <c r="E118" s="50"/>
      <c r="F118" s="49">
        <f>993-693</f>
        <v>300</v>
      </c>
      <c r="G118" s="49">
        <f>818-572</f>
        <v>246</v>
      </c>
      <c r="H118" s="49"/>
      <c r="I118" s="49"/>
      <c r="J118" s="50"/>
      <c r="K118" s="49"/>
      <c r="L118" s="50"/>
      <c r="M118" s="50"/>
      <c r="N118" s="50"/>
      <c r="O118" s="38">
        <f t="shared" si="18"/>
        <v>300</v>
      </c>
      <c r="Q118" s="61"/>
      <c r="T118" s="61"/>
      <c r="U118" s="61"/>
    </row>
    <row r="119" spans="1:21" s="9" customFormat="1" ht="30" customHeight="1">
      <c r="A119" s="39" t="s">
        <v>444</v>
      </c>
      <c r="B119" s="67" t="s">
        <v>296</v>
      </c>
      <c r="C119" s="49">
        <v>65000</v>
      </c>
      <c r="D119" s="50"/>
      <c r="E119" s="49">
        <v>65000</v>
      </c>
      <c r="F119" s="50"/>
      <c r="G119" s="50"/>
      <c r="H119" s="50"/>
      <c r="I119" s="49"/>
      <c r="J119" s="50"/>
      <c r="K119" s="49"/>
      <c r="L119" s="50"/>
      <c r="M119" s="50"/>
      <c r="N119" s="50"/>
      <c r="O119" s="38">
        <f t="shared" si="18"/>
        <v>65000</v>
      </c>
      <c r="Q119" s="61"/>
      <c r="T119" s="61"/>
      <c r="U119" s="61"/>
    </row>
    <row r="120" spans="1:21" s="13" customFormat="1" ht="16.5" customHeight="1">
      <c r="A120" s="39" t="s">
        <v>445</v>
      </c>
      <c r="B120" s="67" t="s">
        <v>195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>
        <v>700000</v>
      </c>
      <c r="M120" s="49"/>
      <c r="N120" s="49"/>
      <c r="O120" s="38">
        <f t="shared" si="18"/>
        <v>700000</v>
      </c>
      <c r="Q120" s="61"/>
      <c r="T120" s="61"/>
      <c r="U120" s="61"/>
    </row>
    <row r="121" spans="1:21" s="6" customFormat="1" ht="28.5" customHeight="1">
      <c r="A121" s="38" t="s">
        <v>77</v>
      </c>
      <c r="B121" s="64" t="s">
        <v>297</v>
      </c>
      <c r="C121" s="40">
        <f aca="true" t="shared" si="20" ref="C121:N121">SUM(C122:C124)</f>
        <v>0</v>
      </c>
      <c r="D121" s="40">
        <f t="shared" si="20"/>
        <v>0</v>
      </c>
      <c r="E121" s="40">
        <f t="shared" si="20"/>
        <v>0</v>
      </c>
      <c r="F121" s="40">
        <f t="shared" si="20"/>
        <v>0</v>
      </c>
      <c r="G121" s="40">
        <f t="shared" si="20"/>
        <v>0</v>
      </c>
      <c r="H121" s="40">
        <f t="shared" si="20"/>
        <v>0</v>
      </c>
      <c r="I121" s="40">
        <f t="shared" si="20"/>
        <v>0</v>
      </c>
      <c r="J121" s="40">
        <f t="shared" si="20"/>
        <v>0</v>
      </c>
      <c r="K121" s="40">
        <f t="shared" si="20"/>
        <v>0</v>
      </c>
      <c r="L121" s="38">
        <f t="shared" si="20"/>
        <v>23801</v>
      </c>
      <c r="M121" s="40">
        <f t="shared" si="20"/>
        <v>0</v>
      </c>
      <c r="N121" s="40">
        <f t="shared" si="20"/>
        <v>0</v>
      </c>
      <c r="O121" s="38">
        <f t="shared" si="18"/>
        <v>23801</v>
      </c>
      <c r="Q121" s="91"/>
      <c r="T121" s="91"/>
      <c r="U121" s="91"/>
    </row>
    <row r="122" spans="1:21" s="12" customFormat="1" ht="15.75" customHeight="1">
      <c r="A122" s="71" t="s">
        <v>98</v>
      </c>
      <c r="B122" s="45" t="s">
        <v>186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>
        <v>916</v>
      </c>
      <c r="M122" s="49"/>
      <c r="N122" s="49"/>
      <c r="O122" s="38">
        <f t="shared" si="18"/>
        <v>916</v>
      </c>
      <c r="Q122" s="94"/>
      <c r="T122" s="94"/>
      <c r="U122" s="94"/>
    </row>
    <row r="123" spans="1:21" s="12" customFormat="1" ht="15.75" customHeight="1">
      <c r="A123" s="71" t="s">
        <v>99</v>
      </c>
      <c r="B123" s="45" t="s">
        <v>187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>
        <v>22800</v>
      </c>
      <c r="M123" s="49"/>
      <c r="N123" s="49"/>
      <c r="O123" s="38">
        <f t="shared" si="18"/>
        <v>22800</v>
      </c>
      <c r="Q123" s="94"/>
      <c r="T123" s="94"/>
      <c r="U123" s="94"/>
    </row>
    <row r="124" spans="1:21" s="12" customFormat="1" ht="15.75" customHeight="1">
      <c r="A124" s="71" t="s">
        <v>100</v>
      </c>
      <c r="B124" s="45" t="s">
        <v>188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>
        <v>85</v>
      </c>
      <c r="M124" s="49"/>
      <c r="N124" s="49"/>
      <c r="O124" s="38">
        <f t="shared" si="18"/>
        <v>85</v>
      </c>
      <c r="Q124" s="94"/>
      <c r="T124" s="94"/>
      <c r="U124" s="94"/>
    </row>
    <row r="125" spans="1:21" s="6" customFormat="1" ht="28.5" customHeight="1">
      <c r="A125" s="76" t="s">
        <v>208</v>
      </c>
      <c r="B125" s="72" t="s">
        <v>209</v>
      </c>
      <c r="C125" s="50">
        <f>SUM(C126,C128)</f>
        <v>0</v>
      </c>
      <c r="D125" s="50">
        <f>SUM(D126,D128)</f>
        <v>0</v>
      </c>
      <c r="E125" s="50">
        <f>SUM(E126,E128)</f>
        <v>0</v>
      </c>
      <c r="F125" s="50">
        <f>SUM(F126,F127,F128)</f>
        <v>262200</v>
      </c>
      <c r="G125" s="50">
        <f aca="true" t="shared" si="21" ref="G125:O125">SUM(G126,G127,G128)</f>
        <v>182800</v>
      </c>
      <c r="H125" s="50">
        <f t="shared" si="21"/>
        <v>0</v>
      </c>
      <c r="I125" s="50">
        <f t="shared" si="21"/>
        <v>0</v>
      </c>
      <c r="J125" s="50">
        <f t="shared" si="21"/>
        <v>0</v>
      </c>
      <c r="K125" s="50">
        <f t="shared" si="21"/>
        <v>0</v>
      </c>
      <c r="L125" s="50">
        <f t="shared" si="21"/>
        <v>8000</v>
      </c>
      <c r="M125" s="50">
        <f t="shared" si="21"/>
        <v>0</v>
      </c>
      <c r="N125" s="50">
        <f t="shared" si="21"/>
        <v>0</v>
      </c>
      <c r="O125" s="50">
        <f t="shared" si="21"/>
        <v>270200</v>
      </c>
      <c r="Q125" s="91"/>
      <c r="T125" s="91"/>
      <c r="U125" s="91"/>
    </row>
    <row r="126" spans="1:21" s="9" customFormat="1" ht="30" customHeight="1">
      <c r="A126" s="66" t="s">
        <v>101</v>
      </c>
      <c r="B126" s="67" t="s">
        <v>242</v>
      </c>
      <c r="C126" s="40"/>
      <c r="D126" s="40"/>
      <c r="E126" s="40"/>
      <c r="F126" s="40">
        <v>152600</v>
      </c>
      <c r="G126" s="40">
        <v>123600</v>
      </c>
      <c r="H126" s="40"/>
      <c r="I126" s="40"/>
      <c r="J126" s="40"/>
      <c r="K126" s="40"/>
      <c r="L126" s="40"/>
      <c r="M126" s="40"/>
      <c r="N126" s="40"/>
      <c r="O126" s="38">
        <f t="shared" si="18"/>
        <v>152600</v>
      </c>
      <c r="Q126" s="61"/>
      <c r="T126" s="61"/>
      <c r="U126" s="61"/>
    </row>
    <row r="127" spans="1:21" s="9" customFormat="1" ht="16.5" customHeight="1">
      <c r="A127" s="66" t="s">
        <v>192</v>
      </c>
      <c r="B127" s="67" t="s">
        <v>243</v>
      </c>
      <c r="C127" s="49"/>
      <c r="D127" s="50"/>
      <c r="E127" s="50"/>
      <c r="F127" s="49">
        <v>77100</v>
      </c>
      <c r="G127" s="49">
        <v>59200</v>
      </c>
      <c r="H127" s="50"/>
      <c r="I127" s="50"/>
      <c r="J127" s="50"/>
      <c r="K127" s="50"/>
      <c r="L127" s="49">
        <v>8000</v>
      </c>
      <c r="M127" s="50"/>
      <c r="N127" s="50"/>
      <c r="O127" s="38">
        <f>C127+F127+I127+L127</f>
        <v>85100</v>
      </c>
      <c r="Q127" s="61"/>
      <c r="T127" s="61"/>
      <c r="U127" s="61"/>
    </row>
    <row r="128" spans="1:21" s="9" customFormat="1" ht="16.5" customHeight="1">
      <c r="A128" s="66" t="s">
        <v>446</v>
      </c>
      <c r="B128" s="67" t="s">
        <v>447</v>
      </c>
      <c r="C128" s="49"/>
      <c r="D128" s="50"/>
      <c r="E128" s="50"/>
      <c r="F128" s="49">
        <v>32500</v>
      </c>
      <c r="G128" s="49"/>
      <c r="H128" s="50"/>
      <c r="I128" s="50"/>
      <c r="J128" s="50"/>
      <c r="K128" s="50"/>
      <c r="L128" s="49"/>
      <c r="M128" s="50"/>
      <c r="N128" s="50"/>
      <c r="O128" s="38">
        <f t="shared" si="18"/>
        <v>32500</v>
      </c>
      <c r="Q128" s="61"/>
      <c r="T128" s="61"/>
      <c r="U128" s="61"/>
    </row>
    <row r="129" spans="1:21" s="1" customFormat="1" ht="18" customHeight="1">
      <c r="A129" s="68"/>
      <c r="B129" s="123" t="s">
        <v>392</v>
      </c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Q129" s="20"/>
      <c r="T129" s="20"/>
      <c r="U129" s="20"/>
    </row>
    <row r="130" spans="1:21" s="9" customFormat="1" ht="18" customHeight="1">
      <c r="A130" s="40"/>
      <c r="B130" s="64" t="s">
        <v>39</v>
      </c>
      <c r="C130" s="50">
        <f>SUM(C131,C132,C133,C134,C135,C136,C137,C138,C142,C155)</f>
        <v>2470500</v>
      </c>
      <c r="D130" s="50">
        <f aca="true" t="shared" si="22" ref="D130:O130">SUM(D131,D132,D133,D134,D135,D136,D137,D138,D142,D155)</f>
        <v>1867400</v>
      </c>
      <c r="E130" s="50">
        <f t="shared" si="22"/>
        <v>36000</v>
      </c>
      <c r="F130" s="50">
        <f t="shared" si="22"/>
        <v>341012</v>
      </c>
      <c r="G130" s="50">
        <f t="shared" si="22"/>
        <v>0</v>
      </c>
      <c r="H130" s="50">
        <f t="shared" si="22"/>
        <v>341012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62330</v>
      </c>
      <c r="M130" s="50">
        <f t="shared" si="22"/>
        <v>0</v>
      </c>
      <c r="N130" s="50">
        <f t="shared" si="22"/>
        <v>2000</v>
      </c>
      <c r="O130" s="50">
        <f t="shared" si="22"/>
        <v>2873842</v>
      </c>
      <c r="P130" s="92"/>
      <c r="Q130" s="92">
        <f>SUM(O130:P130)</f>
        <v>2873842</v>
      </c>
      <c r="T130" s="92"/>
      <c r="U130" s="92"/>
    </row>
    <row r="131" spans="1:21" s="6" customFormat="1" ht="17.25" customHeight="1">
      <c r="A131" s="38" t="s">
        <v>78</v>
      </c>
      <c r="B131" s="72" t="s">
        <v>17</v>
      </c>
      <c r="C131" s="38">
        <f>611500+13200</f>
        <v>624700</v>
      </c>
      <c r="D131" s="38">
        <v>516000</v>
      </c>
      <c r="E131" s="38">
        <v>1000</v>
      </c>
      <c r="F131" s="38"/>
      <c r="G131" s="38"/>
      <c r="H131" s="38"/>
      <c r="I131" s="38"/>
      <c r="J131" s="38"/>
      <c r="K131" s="38"/>
      <c r="L131" s="38">
        <f>1300+1100+570</f>
        <v>2970</v>
      </c>
      <c r="M131" s="38"/>
      <c r="N131" s="38"/>
      <c r="O131" s="38">
        <f>C131+F131+I131+L131</f>
        <v>627670</v>
      </c>
      <c r="Q131" s="91"/>
      <c r="T131" s="91"/>
      <c r="U131" s="91"/>
    </row>
    <row r="132" spans="1:21" s="6" customFormat="1" ht="17.25" customHeight="1">
      <c r="A132" s="38" t="s">
        <v>113</v>
      </c>
      <c r="B132" s="64" t="s">
        <v>18</v>
      </c>
      <c r="C132" s="38">
        <v>182500</v>
      </c>
      <c r="D132" s="38">
        <v>153500</v>
      </c>
      <c r="E132" s="38"/>
      <c r="F132" s="38"/>
      <c r="G132" s="38"/>
      <c r="H132" s="38"/>
      <c r="I132" s="38"/>
      <c r="J132" s="38"/>
      <c r="K132" s="38"/>
      <c r="L132" s="38">
        <f>7800+6000</f>
        <v>13800</v>
      </c>
      <c r="M132" s="38"/>
      <c r="N132" s="38"/>
      <c r="O132" s="38">
        <f aca="true" t="shared" si="23" ref="O132:O137">C132+F132+I132+L132</f>
        <v>196300</v>
      </c>
      <c r="Q132" s="91"/>
      <c r="T132" s="91"/>
      <c r="U132" s="91"/>
    </row>
    <row r="133" spans="1:21" s="11" customFormat="1" ht="17.25" customHeight="1">
      <c r="A133" s="38" t="s">
        <v>114</v>
      </c>
      <c r="B133" s="64" t="s">
        <v>19</v>
      </c>
      <c r="C133" s="38">
        <f>602700+2500</f>
        <v>605200</v>
      </c>
      <c r="D133" s="38">
        <v>535000</v>
      </c>
      <c r="E133" s="38"/>
      <c r="F133" s="38"/>
      <c r="G133" s="38"/>
      <c r="H133" s="38"/>
      <c r="I133" s="38"/>
      <c r="J133" s="38"/>
      <c r="K133" s="38"/>
      <c r="L133" s="38">
        <f>10700+17500</f>
        <v>28200</v>
      </c>
      <c r="M133" s="38"/>
      <c r="N133" s="38">
        <v>2000</v>
      </c>
      <c r="O133" s="38">
        <f t="shared" si="23"/>
        <v>633400</v>
      </c>
      <c r="Q133" s="92"/>
      <c r="T133" s="92"/>
      <c r="U133" s="92"/>
    </row>
    <row r="134" spans="1:21" s="11" customFormat="1" ht="17.25" customHeight="1">
      <c r="A134" s="38" t="s">
        <v>115</v>
      </c>
      <c r="B134" s="64" t="s">
        <v>155</v>
      </c>
      <c r="C134" s="38">
        <v>103800</v>
      </c>
      <c r="D134" s="38">
        <v>87000</v>
      </c>
      <c r="E134" s="38"/>
      <c r="F134" s="38"/>
      <c r="G134" s="38"/>
      <c r="H134" s="38"/>
      <c r="I134" s="38"/>
      <c r="J134" s="38"/>
      <c r="K134" s="38"/>
      <c r="L134" s="38">
        <f>100+500+1500</f>
        <v>2100</v>
      </c>
      <c r="M134" s="38"/>
      <c r="N134" s="38"/>
      <c r="O134" s="38">
        <f t="shared" si="23"/>
        <v>105900</v>
      </c>
      <c r="Q134" s="92"/>
      <c r="T134" s="92"/>
      <c r="U134" s="92"/>
    </row>
    <row r="135" spans="1:21" s="11" customFormat="1" ht="17.25" customHeight="1">
      <c r="A135" s="38" t="s">
        <v>116</v>
      </c>
      <c r="B135" s="64" t="s">
        <v>156</v>
      </c>
      <c r="C135" s="38">
        <v>90200</v>
      </c>
      <c r="D135" s="38">
        <v>75000</v>
      </c>
      <c r="E135" s="38"/>
      <c r="F135" s="38"/>
      <c r="G135" s="38"/>
      <c r="H135" s="38"/>
      <c r="I135" s="38"/>
      <c r="J135" s="38"/>
      <c r="K135" s="38"/>
      <c r="L135" s="38">
        <f>250+800</f>
        <v>1050</v>
      </c>
      <c r="M135" s="38"/>
      <c r="N135" s="38"/>
      <c r="O135" s="38">
        <f t="shared" si="23"/>
        <v>91250</v>
      </c>
      <c r="Q135" s="92"/>
      <c r="T135" s="92"/>
      <c r="U135" s="92"/>
    </row>
    <row r="136" spans="1:21" s="11" customFormat="1" ht="29.25" customHeight="1">
      <c r="A136" s="38" t="s">
        <v>117</v>
      </c>
      <c r="B136" s="64" t="s">
        <v>158</v>
      </c>
      <c r="C136" s="38">
        <v>95100</v>
      </c>
      <c r="D136" s="38">
        <v>77300</v>
      </c>
      <c r="E136" s="38"/>
      <c r="F136" s="38"/>
      <c r="G136" s="38"/>
      <c r="H136" s="38"/>
      <c r="I136" s="38"/>
      <c r="J136" s="38"/>
      <c r="K136" s="38"/>
      <c r="L136" s="38">
        <f>100+2000</f>
        <v>2100</v>
      </c>
      <c r="M136" s="38"/>
      <c r="N136" s="38"/>
      <c r="O136" s="38">
        <f t="shared" si="23"/>
        <v>97200</v>
      </c>
      <c r="Q136" s="92"/>
      <c r="T136" s="92"/>
      <c r="U136" s="92"/>
    </row>
    <row r="137" spans="1:21" s="11" customFormat="1" ht="17.25" customHeight="1">
      <c r="A137" s="38" t="s">
        <v>159</v>
      </c>
      <c r="B137" s="64" t="s">
        <v>157</v>
      </c>
      <c r="C137" s="38">
        <v>108500</v>
      </c>
      <c r="D137" s="38">
        <v>94600</v>
      </c>
      <c r="E137" s="38"/>
      <c r="F137" s="38"/>
      <c r="G137" s="38"/>
      <c r="H137" s="38"/>
      <c r="I137" s="38"/>
      <c r="J137" s="38"/>
      <c r="K137" s="38"/>
      <c r="L137" s="38">
        <f>200+1800</f>
        <v>2000</v>
      </c>
      <c r="M137" s="38"/>
      <c r="N137" s="38"/>
      <c r="O137" s="38">
        <f t="shared" si="23"/>
        <v>110500</v>
      </c>
      <c r="Q137" s="92"/>
      <c r="T137" s="92"/>
      <c r="U137" s="92"/>
    </row>
    <row r="138" spans="1:21" s="2" customFormat="1" ht="15" customHeight="1">
      <c r="A138" s="38" t="s">
        <v>160</v>
      </c>
      <c r="B138" s="72" t="s">
        <v>51</v>
      </c>
      <c r="C138" s="38">
        <f>SUM(C139:C141)</f>
        <v>387100</v>
      </c>
      <c r="D138" s="38">
        <f aca="true" t="shared" si="24" ref="D138:I138">SUM(D139:D141)</f>
        <v>329000</v>
      </c>
      <c r="E138" s="38">
        <f t="shared" si="24"/>
        <v>0</v>
      </c>
      <c r="F138" s="38">
        <f t="shared" si="24"/>
        <v>0</v>
      </c>
      <c r="G138" s="38">
        <f t="shared" si="24"/>
        <v>0</v>
      </c>
      <c r="H138" s="38">
        <f t="shared" si="24"/>
        <v>0</v>
      </c>
      <c r="I138" s="38">
        <f t="shared" si="24"/>
        <v>0</v>
      </c>
      <c r="J138" s="38"/>
      <c r="K138" s="38">
        <f>SUM(K139:K141)</f>
        <v>0</v>
      </c>
      <c r="L138" s="38">
        <f>SUM(L139:L141)</f>
        <v>10110</v>
      </c>
      <c r="M138" s="38">
        <f>SUM(M139:M141)</f>
        <v>0</v>
      </c>
      <c r="N138" s="38">
        <f>SUM(N139:N141)</f>
        <v>0</v>
      </c>
      <c r="O138" s="38">
        <f>C138+F138+I138+L138</f>
        <v>397210</v>
      </c>
      <c r="Q138" s="88"/>
      <c r="T138" s="88"/>
      <c r="U138" s="88"/>
    </row>
    <row r="139" spans="1:21" s="2" customFormat="1" ht="15.75" customHeight="1">
      <c r="A139" s="66" t="s">
        <v>448</v>
      </c>
      <c r="B139" s="45" t="s">
        <v>30</v>
      </c>
      <c r="C139" s="40">
        <v>354100</v>
      </c>
      <c r="D139" s="40">
        <v>329000</v>
      </c>
      <c r="E139" s="40"/>
      <c r="F139" s="38"/>
      <c r="G139" s="40"/>
      <c r="H139" s="40"/>
      <c r="I139" s="38"/>
      <c r="J139" s="38"/>
      <c r="K139" s="40"/>
      <c r="L139" s="40">
        <f>3110+7000</f>
        <v>10110</v>
      </c>
      <c r="M139" s="40"/>
      <c r="N139" s="40"/>
      <c r="O139" s="38">
        <f>C139+F139+I139+L139</f>
        <v>364210</v>
      </c>
      <c r="Q139" s="88"/>
      <c r="T139" s="88"/>
      <c r="U139" s="88"/>
    </row>
    <row r="140" spans="1:21" s="2" customFormat="1" ht="43.5" customHeight="1">
      <c r="A140" s="66" t="s">
        <v>449</v>
      </c>
      <c r="B140" s="45" t="s">
        <v>542</v>
      </c>
      <c r="C140" s="49">
        <f>14000+4000</f>
        <v>18000</v>
      </c>
      <c r="D140" s="40"/>
      <c r="E140" s="40"/>
      <c r="F140" s="50"/>
      <c r="G140" s="40"/>
      <c r="H140" s="40"/>
      <c r="I140" s="50"/>
      <c r="J140" s="50"/>
      <c r="K140" s="40"/>
      <c r="L140" s="50"/>
      <c r="M140" s="40"/>
      <c r="N140" s="40"/>
      <c r="O140" s="38">
        <f>C140+F140+I140+L140</f>
        <v>18000</v>
      </c>
      <c r="Q140" s="88"/>
      <c r="T140" s="88"/>
      <c r="U140" s="88"/>
    </row>
    <row r="141" spans="1:21" s="2" customFormat="1" ht="16.5" customHeight="1">
      <c r="A141" s="66" t="s">
        <v>450</v>
      </c>
      <c r="B141" s="45" t="s">
        <v>43</v>
      </c>
      <c r="C141" s="49">
        <v>15000</v>
      </c>
      <c r="D141" s="40"/>
      <c r="E141" s="40"/>
      <c r="F141" s="50"/>
      <c r="G141" s="40"/>
      <c r="H141" s="40"/>
      <c r="I141" s="50"/>
      <c r="J141" s="50"/>
      <c r="K141" s="40"/>
      <c r="L141" s="50"/>
      <c r="M141" s="40"/>
      <c r="N141" s="40"/>
      <c r="O141" s="38">
        <f>C141+F141+I141+L141</f>
        <v>15000</v>
      </c>
      <c r="Q141" s="88"/>
      <c r="T141" s="88"/>
      <c r="U141" s="88"/>
    </row>
    <row r="142" spans="1:21" s="9" customFormat="1" ht="17.25" customHeight="1">
      <c r="A142" s="38" t="s">
        <v>161</v>
      </c>
      <c r="B142" s="64" t="s">
        <v>28</v>
      </c>
      <c r="C142" s="50">
        <f aca="true" t="shared" si="25" ref="C142:N142">SUM(C143:C154)</f>
        <v>140400</v>
      </c>
      <c r="D142" s="50">
        <f t="shared" si="25"/>
        <v>0</v>
      </c>
      <c r="E142" s="50">
        <f t="shared" si="25"/>
        <v>0</v>
      </c>
      <c r="F142" s="50">
        <f t="shared" si="25"/>
        <v>341012</v>
      </c>
      <c r="G142" s="50">
        <f t="shared" si="25"/>
        <v>0</v>
      </c>
      <c r="H142" s="50">
        <f t="shared" si="25"/>
        <v>341012</v>
      </c>
      <c r="I142" s="50">
        <f t="shared" si="25"/>
        <v>0</v>
      </c>
      <c r="J142" s="50">
        <f t="shared" si="25"/>
        <v>0</v>
      </c>
      <c r="K142" s="50">
        <f t="shared" si="25"/>
        <v>0</v>
      </c>
      <c r="L142" s="50">
        <f t="shared" si="25"/>
        <v>0</v>
      </c>
      <c r="M142" s="50">
        <f t="shared" si="25"/>
        <v>0</v>
      </c>
      <c r="N142" s="50">
        <f t="shared" si="25"/>
        <v>0</v>
      </c>
      <c r="O142" s="38">
        <f aca="true" t="shared" si="26" ref="O142:O158">C142+F142+I142+L142</f>
        <v>481412</v>
      </c>
      <c r="Q142" s="61"/>
      <c r="T142" s="61"/>
      <c r="U142" s="61"/>
    </row>
    <row r="143" spans="1:21" s="13" customFormat="1" ht="30" customHeight="1">
      <c r="A143" s="66" t="s">
        <v>451</v>
      </c>
      <c r="B143" s="67" t="s">
        <v>298</v>
      </c>
      <c r="C143" s="49">
        <v>14900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38">
        <f t="shared" si="26"/>
        <v>14900</v>
      </c>
      <c r="Q143" s="61"/>
      <c r="T143" s="61"/>
      <c r="U143" s="61"/>
    </row>
    <row r="144" spans="1:21" s="13" customFormat="1" ht="45.75" customHeight="1">
      <c r="A144" s="66" t="s">
        <v>452</v>
      </c>
      <c r="B144" s="67" t="s">
        <v>393</v>
      </c>
      <c r="C144" s="49"/>
      <c r="D144" s="49"/>
      <c r="E144" s="49"/>
      <c r="F144" s="49">
        <f>555174-484000+5286</f>
        <v>76460</v>
      </c>
      <c r="G144" s="49"/>
      <c r="H144" s="49">
        <f>555174-484000+5286</f>
        <v>76460</v>
      </c>
      <c r="I144" s="49"/>
      <c r="J144" s="49"/>
      <c r="K144" s="49"/>
      <c r="L144" s="49"/>
      <c r="M144" s="49"/>
      <c r="N144" s="49"/>
      <c r="O144" s="38">
        <f t="shared" si="26"/>
        <v>76460</v>
      </c>
      <c r="Q144" s="61"/>
      <c r="T144" s="61"/>
      <c r="U144" s="61"/>
    </row>
    <row r="145" spans="1:21" s="13" customFormat="1" ht="29.25" customHeight="1">
      <c r="A145" s="66" t="s">
        <v>453</v>
      </c>
      <c r="B145" s="67" t="s">
        <v>246</v>
      </c>
      <c r="C145" s="49">
        <v>1500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38">
        <f t="shared" si="26"/>
        <v>1500</v>
      </c>
      <c r="Q145" s="61"/>
      <c r="T145" s="61"/>
      <c r="U145" s="61"/>
    </row>
    <row r="146" spans="1:21" s="13" customFormat="1" ht="28.5" customHeight="1">
      <c r="A146" s="39" t="s">
        <v>454</v>
      </c>
      <c r="B146" s="67" t="s">
        <v>247</v>
      </c>
      <c r="C146" s="49">
        <f>39000-8700</f>
        <v>30300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38">
        <f t="shared" si="26"/>
        <v>30300</v>
      </c>
      <c r="Q146" s="61"/>
      <c r="T146" s="61"/>
      <c r="U146" s="61"/>
    </row>
    <row r="147" spans="1:21" s="13" customFormat="1" ht="31.5" customHeight="1">
      <c r="A147" s="39" t="s">
        <v>455</v>
      </c>
      <c r="B147" s="67" t="s">
        <v>456</v>
      </c>
      <c r="C147" s="49">
        <f>25000+10700</f>
        <v>35700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38">
        <f t="shared" si="26"/>
        <v>35700</v>
      </c>
      <c r="Q147" s="61"/>
      <c r="T147" s="61"/>
      <c r="U147" s="61"/>
    </row>
    <row r="148" spans="1:21" s="13" customFormat="1" ht="15.75" customHeight="1">
      <c r="A148" s="39" t="s">
        <v>457</v>
      </c>
      <c r="B148" s="67" t="s">
        <v>210</v>
      </c>
      <c r="C148" s="49">
        <f>15000-2000</f>
        <v>13000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38">
        <f t="shared" si="26"/>
        <v>13000</v>
      </c>
      <c r="Q148" s="61"/>
      <c r="T148" s="61"/>
      <c r="U148" s="61"/>
    </row>
    <row r="149" spans="1:21" s="13" customFormat="1" ht="15.75" customHeight="1">
      <c r="A149" s="66" t="s">
        <v>458</v>
      </c>
      <c r="B149" s="67" t="s">
        <v>196</v>
      </c>
      <c r="C149" s="49">
        <v>5000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38">
        <f t="shared" si="26"/>
        <v>5000</v>
      </c>
      <c r="Q149" s="61"/>
      <c r="T149" s="61"/>
      <c r="U149" s="61"/>
    </row>
    <row r="150" spans="1:21" s="9" customFormat="1" ht="30" customHeight="1">
      <c r="A150" s="66" t="s">
        <v>459</v>
      </c>
      <c r="B150" s="67" t="s">
        <v>460</v>
      </c>
      <c r="C150" s="40">
        <f>18000-3000</f>
        <v>15000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38">
        <f t="shared" si="26"/>
        <v>15000</v>
      </c>
      <c r="Q150" s="61"/>
      <c r="T150" s="61"/>
      <c r="U150" s="61"/>
    </row>
    <row r="151" spans="1:21" s="9" customFormat="1" ht="15.75" customHeight="1">
      <c r="A151" s="66" t="s">
        <v>461</v>
      </c>
      <c r="B151" s="67" t="s">
        <v>462</v>
      </c>
      <c r="C151" s="40">
        <v>8000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38">
        <f t="shared" si="26"/>
        <v>8000</v>
      </c>
      <c r="Q151" s="61"/>
      <c r="T151" s="61"/>
      <c r="U151" s="61"/>
    </row>
    <row r="152" spans="1:21" s="13" customFormat="1" ht="28.5" customHeight="1">
      <c r="A152" s="65" t="s">
        <v>463</v>
      </c>
      <c r="B152" s="67" t="s">
        <v>464</v>
      </c>
      <c r="C152" s="49">
        <v>10000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38">
        <f t="shared" si="26"/>
        <v>10000</v>
      </c>
      <c r="Q152" s="61"/>
      <c r="T152" s="61"/>
      <c r="U152" s="61"/>
    </row>
    <row r="153" spans="1:21" s="13" customFormat="1" ht="29.25" customHeight="1">
      <c r="A153" s="65" t="s">
        <v>465</v>
      </c>
      <c r="B153" s="67" t="s">
        <v>466</v>
      </c>
      <c r="C153" s="49">
        <v>7000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38">
        <f t="shared" si="26"/>
        <v>7000</v>
      </c>
      <c r="Q153" s="61"/>
      <c r="T153" s="61"/>
      <c r="U153" s="61"/>
    </row>
    <row r="154" spans="1:21" s="13" customFormat="1" ht="29.25" customHeight="1">
      <c r="A154" s="65" t="s">
        <v>467</v>
      </c>
      <c r="B154" s="67" t="s">
        <v>468</v>
      </c>
      <c r="C154" s="49"/>
      <c r="D154" s="49"/>
      <c r="E154" s="49"/>
      <c r="F154" s="49">
        <f>104933+159619</f>
        <v>264552</v>
      </c>
      <c r="G154" s="49"/>
      <c r="H154" s="49">
        <f>104933+159619</f>
        <v>264552</v>
      </c>
      <c r="I154" s="49"/>
      <c r="J154" s="49"/>
      <c r="K154" s="49"/>
      <c r="L154" s="49"/>
      <c r="M154" s="49"/>
      <c r="N154" s="49"/>
      <c r="O154" s="38">
        <f t="shared" si="26"/>
        <v>264552</v>
      </c>
      <c r="Q154" s="61"/>
      <c r="T154" s="61"/>
      <c r="U154" s="61"/>
    </row>
    <row r="155" spans="1:21" s="11" customFormat="1" ht="27.75" customHeight="1">
      <c r="A155" s="38" t="s">
        <v>162</v>
      </c>
      <c r="B155" s="64" t="s">
        <v>29</v>
      </c>
      <c r="C155" s="38">
        <f aca="true" t="shared" si="27" ref="C155:N155">SUM(C156:C158)</f>
        <v>133000</v>
      </c>
      <c r="D155" s="38">
        <f t="shared" si="27"/>
        <v>0</v>
      </c>
      <c r="E155" s="38">
        <f t="shared" si="27"/>
        <v>35000</v>
      </c>
      <c r="F155" s="38">
        <f t="shared" si="27"/>
        <v>0</v>
      </c>
      <c r="G155" s="38">
        <f t="shared" si="27"/>
        <v>0</v>
      </c>
      <c r="H155" s="38">
        <f t="shared" si="27"/>
        <v>0</v>
      </c>
      <c r="I155" s="38">
        <f t="shared" si="27"/>
        <v>0</v>
      </c>
      <c r="J155" s="38">
        <f t="shared" si="27"/>
        <v>0</v>
      </c>
      <c r="K155" s="38">
        <f t="shared" si="27"/>
        <v>0</v>
      </c>
      <c r="L155" s="38">
        <f t="shared" si="27"/>
        <v>0</v>
      </c>
      <c r="M155" s="38">
        <f t="shared" si="27"/>
        <v>0</v>
      </c>
      <c r="N155" s="38">
        <f t="shared" si="27"/>
        <v>0</v>
      </c>
      <c r="O155" s="38">
        <f t="shared" si="26"/>
        <v>133000</v>
      </c>
      <c r="Q155" s="92"/>
      <c r="T155" s="92"/>
      <c r="U155" s="92"/>
    </row>
    <row r="156" spans="1:21" s="9" customFormat="1" ht="30.75" customHeight="1">
      <c r="A156" s="41" t="s">
        <v>220</v>
      </c>
      <c r="B156" s="45" t="s">
        <v>394</v>
      </c>
      <c r="C156" s="40">
        <f>65000-2174</f>
        <v>62826</v>
      </c>
      <c r="D156" s="42"/>
      <c r="E156" s="40">
        <v>35000</v>
      </c>
      <c r="F156" s="42"/>
      <c r="G156" s="42"/>
      <c r="H156" s="42"/>
      <c r="I156" s="42"/>
      <c r="J156" s="42"/>
      <c r="K156" s="42"/>
      <c r="L156" s="42"/>
      <c r="M156" s="42"/>
      <c r="N156" s="42"/>
      <c r="O156" s="38">
        <f t="shared" si="26"/>
        <v>62826</v>
      </c>
      <c r="Q156" s="61"/>
      <c r="T156" s="61"/>
      <c r="U156" s="61"/>
    </row>
    <row r="157" spans="1:21" s="13" customFormat="1" ht="44.25" customHeight="1">
      <c r="A157" s="65" t="s">
        <v>221</v>
      </c>
      <c r="B157" s="67" t="s">
        <v>260</v>
      </c>
      <c r="C157" s="40">
        <f>10000-3100</f>
        <v>6900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38">
        <f>C157+F157+I157+L157</f>
        <v>6900</v>
      </c>
      <c r="Q157" s="61"/>
      <c r="T157" s="61"/>
      <c r="U157" s="61"/>
    </row>
    <row r="158" spans="1:21" s="13" customFormat="1" ht="15.75" customHeight="1">
      <c r="A158" s="65" t="s">
        <v>222</v>
      </c>
      <c r="B158" s="67" t="s">
        <v>42</v>
      </c>
      <c r="C158" s="40">
        <f>58000+5274</f>
        <v>63274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38">
        <f t="shared" si="26"/>
        <v>63274</v>
      </c>
      <c r="Q158" s="61"/>
      <c r="T158" s="61"/>
      <c r="U158" s="61"/>
    </row>
    <row r="159" spans="1:21" s="1" customFormat="1" ht="17.25" customHeight="1">
      <c r="A159" s="68"/>
      <c r="B159" s="119" t="s">
        <v>295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1"/>
      <c r="Q159" s="20"/>
      <c r="T159" s="20"/>
      <c r="U159" s="20"/>
    </row>
    <row r="160" spans="1:21" s="9" customFormat="1" ht="20.25" customHeight="1">
      <c r="A160" s="40"/>
      <c r="B160" s="64" t="s">
        <v>39</v>
      </c>
      <c r="C160" s="50">
        <f aca="true" t="shared" si="28" ref="C160:N160">SUM(C161:C163,C166:C169,C172:C172,C175,C178,C181,C184:C184,C190,C187,C193:C195,C196,C206)</f>
        <v>5716000</v>
      </c>
      <c r="D160" s="50">
        <f t="shared" si="28"/>
        <v>3776025</v>
      </c>
      <c r="E160" s="50">
        <f t="shared" si="28"/>
        <v>251002</v>
      </c>
      <c r="F160" s="50">
        <f t="shared" si="28"/>
        <v>542666</v>
      </c>
      <c r="G160" s="50">
        <f t="shared" si="28"/>
        <v>19075</v>
      </c>
      <c r="H160" s="50">
        <f t="shared" si="28"/>
        <v>389062</v>
      </c>
      <c r="I160" s="50">
        <f t="shared" si="28"/>
        <v>6149800</v>
      </c>
      <c r="J160" s="50">
        <f t="shared" si="28"/>
        <v>5917059</v>
      </c>
      <c r="K160" s="50">
        <f t="shared" si="28"/>
        <v>12009</v>
      </c>
      <c r="L160" s="50">
        <f t="shared" si="28"/>
        <v>300700</v>
      </c>
      <c r="M160" s="50">
        <f t="shared" si="28"/>
        <v>23000</v>
      </c>
      <c r="N160" s="50">
        <f t="shared" si="28"/>
        <v>4900</v>
      </c>
      <c r="O160" s="38">
        <f>C160+F160+I160+L160</f>
        <v>12709166</v>
      </c>
      <c r="P160" s="92">
        <v>110000</v>
      </c>
      <c r="Q160" s="92">
        <f>SUM(O160:P160)</f>
        <v>12819166</v>
      </c>
      <c r="T160" s="92"/>
      <c r="U160" s="92"/>
    </row>
    <row r="161" spans="1:21" s="12" customFormat="1" ht="19.5" customHeight="1">
      <c r="A161" s="50" t="s">
        <v>163</v>
      </c>
      <c r="B161" s="109" t="s">
        <v>14</v>
      </c>
      <c r="C161" s="50">
        <f>359200+5700</f>
        <v>364900</v>
      </c>
      <c r="D161" s="50">
        <v>215100</v>
      </c>
      <c r="E161" s="50"/>
      <c r="F161" s="50"/>
      <c r="G161" s="50"/>
      <c r="H161" s="50"/>
      <c r="I161" s="50">
        <f>895629+10086</f>
        <v>905715</v>
      </c>
      <c r="J161" s="50">
        <f>861698+10086</f>
        <v>871784</v>
      </c>
      <c r="K161" s="50">
        <v>3000</v>
      </c>
      <c r="L161" s="50">
        <f>3930+530</f>
        <v>4460</v>
      </c>
      <c r="M161" s="50"/>
      <c r="N161" s="50"/>
      <c r="O161" s="38">
        <f aca="true" t="shared" si="29" ref="O161:O210">C161+F161+I161+L161</f>
        <v>1275075</v>
      </c>
      <c r="Q161" s="94"/>
      <c r="T161" s="94"/>
      <c r="U161" s="94"/>
    </row>
    <row r="162" spans="1:21" s="12" customFormat="1" ht="20.25" customHeight="1">
      <c r="A162" s="50" t="s">
        <v>164</v>
      </c>
      <c r="B162" s="72" t="s">
        <v>104</v>
      </c>
      <c r="C162" s="50">
        <f>323100+1200</f>
        <v>324300</v>
      </c>
      <c r="D162" s="50">
        <v>223500</v>
      </c>
      <c r="E162" s="50"/>
      <c r="F162" s="50"/>
      <c r="G162" s="50"/>
      <c r="H162" s="50"/>
      <c r="I162" s="50">
        <f>539156+21315</f>
        <v>560471</v>
      </c>
      <c r="J162" s="50">
        <f>519895+21315</f>
        <v>541210</v>
      </c>
      <c r="K162" s="50"/>
      <c r="L162" s="50"/>
      <c r="M162" s="50"/>
      <c r="N162" s="50"/>
      <c r="O162" s="38">
        <f t="shared" si="29"/>
        <v>884771</v>
      </c>
      <c r="Q162" s="94"/>
      <c r="T162" s="94"/>
      <c r="U162" s="94"/>
    </row>
    <row r="163" spans="1:21" s="12" customFormat="1" ht="29.25" customHeight="1">
      <c r="A163" s="50" t="s">
        <v>165</v>
      </c>
      <c r="B163" s="72" t="s">
        <v>301</v>
      </c>
      <c r="C163" s="50">
        <f>C164+C165</f>
        <v>398880</v>
      </c>
      <c r="D163" s="50">
        <f aca="true" t="shared" si="30" ref="D163:L163">D164+D165</f>
        <v>267437</v>
      </c>
      <c r="E163" s="50">
        <f t="shared" si="30"/>
        <v>0</v>
      </c>
      <c r="F163" s="50">
        <f t="shared" si="30"/>
        <v>0</v>
      </c>
      <c r="G163" s="50">
        <f t="shared" si="30"/>
        <v>0</v>
      </c>
      <c r="H163" s="50">
        <f t="shared" si="30"/>
        <v>0</v>
      </c>
      <c r="I163" s="50">
        <f t="shared" si="30"/>
        <v>502404</v>
      </c>
      <c r="J163" s="50">
        <f>J164+J165</f>
        <v>484615</v>
      </c>
      <c r="K163" s="50">
        <f t="shared" si="30"/>
        <v>0</v>
      </c>
      <c r="L163" s="50">
        <f t="shared" si="30"/>
        <v>12060</v>
      </c>
      <c r="M163" s="50">
        <f>M164+M165</f>
        <v>0</v>
      </c>
      <c r="N163" s="50">
        <f>N164+N165</f>
        <v>0</v>
      </c>
      <c r="O163" s="38">
        <f t="shared" si="29"/>
        <v>913344</v>
      </c>
      <c r="Q163" s="94"/>
      <c r="T163" s="94"/>
      <c r="U163" s="94"/>
    </row>
    <row r="164" spans="1:21" s="12" customFormat="1" ht="15" customHeight="1">
      <c r="A164" s="71" t="s">
        <v>223</v>
      </c>
      <c r="B164" s="45" t="s">
        <v>33</v>
      </c>
      <c r="C164" s="49">
        <v>79830</v>
      </c>
      <c r="D164" s="49">
        <v>70300</v>
      </c>
      <c r="E164" s="49"/>
      <c r="F164" s="49"/>
      <c r="G164" s="49"/>
      <c r="H164" s="49"/>
      <c r="I164" s="49">
        <v>28728</v>
      </c>
      <c r="J164" s="49">
        <v>27726</v>
      </c>
      <c r="K164" s="49"/>
      <c r="L164" s="49">
        <f>9560+2500</f>
        <v>12060</v>
      </c>
      <c r="M164" s="49"/>
      <c r="N164" s="49"/>
      <c r="O164" s="38">
        <f t="shared" si="29"/>
        <v>120618</v>
      </c>
      <c r="Q164" s="94"/>
      <c r="T164" s="94"/>
      <c r="U164" s="94"/>
    </row>
    <row r="165" spans="1:21" s="12" customFormat="1" ht="15" customHeight="1">
      <c r="A165" s="71" t="s">
        <v>224</v>
      </c>
      <c r="B165" s="45" t="s">
        <v>32</v>
      </c>
      <c r="C165" s="49">
        <f>309250+9800</f>
        <v>319050</v>
      </c>
      <c r="D165" s="49">
        <f>165200+31937</f>
        <v>197137</v>
      </c>
      <c r="E165" s="49"/>
      <c r="F165" s="49"/>
      <c r="G165" s="49"/>
      <c r="H165" s="49"/>
      <c r="I165" s="49">
        <f>426377+47299</f>
        <v>473676</v>
      </c>
      <c r="J165" s="49">
        <f>409590+47299</f>
        <v>456889</v>
      </c>
      <c r="K165" s="49"/>
      <c r="L165" s="49"/>
      <c r="M165" s="49"/>
      <c r="N165" s="49"/>
      <c r="O165" s="38">
        <f t="shared" si="29"/>
        <v>792726</v>
      </c>
      <c r="Q165" s="94"/>
      <c r="T165" s="94"/>
      <c r="U165" s="94"/>
    </row>
    <row r="166" spans="1:21" s="12" customFormat="1" ht="18.75" customHeight="1">
      <c r="A166" s="50" t="s">
        <v>166</v>
      </c>
      <c r="B166" s="72" t="s">
        <v>469</v>
      </c>
      <c r="C166" s="50">
        <f>360700+12200</f>
        <v>372900</v>
      </c>
      <c r="D166" s="50">
        <f>256000+9000</f>
        <v>265000</v>
      </c>
      <c r="E166" s="50"/>
      <c r="F166" s="50"/>
      <c r="G166" s="50"/>
      <c r="H166" s="50"/>
      <c r="I166" s="50">
        <f>786375+19348</f>
        <v>805723</v>
      </c>
      <c r="J166" s="50">
        <f>753128+19348</f>
        <v>772476</v>
      </c>
      <c r="K166" s="50"/>
      <c r="L166" s="50">
        <f>1460+2500</f>
        <v>3960</v>
      </c>
      <c r="M166" s="50"/>
      <c r="N166" s="50"/>
      <c r="O166" s="38">
        <f>C166+F166+I166+L166</f>
        <v>1182583</v>
      </c>
      <c r="Q166" s="94"/>
      <c r="T166" s="94"/>
      <c r="U166" s="94"/>
    </row>
    <row r="167" spans="1:21" s="12" customFormat="1" ht="18.75" customHeight="1">
      <c r="A167" s="50" t="s">
        <v>167</v>
      </c>
      <c r="B167" s="72" t="s">
        <v>470</v>
      </c>
      <c r="C167" s="50">
        <f>307900+6000</f>
        <v>313900</v>
      </c>
      <c r="D167" s="50">
        <f>223300+4000</f>
        <v>227300</v>
      </c>
      <c r="E167" s="50"/>
      <c r="F167" s="50"/>
      <c r="G167" s="50"/>
      <c r="H167" s="50"/>
      <c r="I167" s="50">
        <f>577734+40588</f>
        <v>618322</v>
      </c>
      <c r="J167" s="50">
        <f>554007+40588</f>
        <v>594595</v>
      </c>
      <c r="K167" s="50"/>
      <c r="L167" s="50">
        <f>4000+200</f>
        <v>4200</v>
      </c>
      <c r="M167" s="50"/>
      <c r="N167" s="50"/>
      <c r="O167" s="38">
        <f>C167+F167+I167+L167</f>
        <v>936422</v>
      </c>
      <c r="Q167" s="94"/>
      <c r="T167" s="94"/>
      <c r="U167" s="94"/>
    </row>
    <row r="168" spans="1:21" s="12" customFormat="1" ht="18" customHeight="1">
      <c r="A168" s="50" t="s">
        <v>168</v>
      </c>
      <c r="B168" s="72" t="s">
        <v>20</v>
      </c>
      <c r="C168" s="50">
        <f>108300-47180</f>
        <v>61120</v>
      </c>
      <c r="D168" s="50">
        <f>79600-31937</f>
        <v>47663</v>
      </c>
      <c r="E168" s="50"/>
      <c r="F168" s="50"/>
      <c r="G168" s="50"/>
      <c r="H168" s="50"/>
      <c r="I168" s="50">
        <f>133886-24896</f>
        <v>108990</v>
      </c>
      <c r="J168" s="50">
        <f>129846-22795</f>
        <v>107051</v>
      </c>
      <c r="K168" s="50"/>
      <c r="L168" s="50"/>
      <c r="M168" s="50"/>
      <c r="N168" s="50"/>
      <c r="O168" s="38">
        <f t="shared" si="29"/>
        <v>170110</v>
      </c>
      <c r="Q168" s="94"/>
      <c r="T168" s="94"/>
      <c r="U168" s="94"/>
    </row>
    <row r="169" spans="1:21" s="12" customFormat="1" ht="30.75" customHeight="1">
      <c r="A169" s="50" t="s">
        <v>169</v>
      </c>
      <c r="B169" s="72" t="s">
        <v>34</v>
      </c>
      <c r="C169" s="50">
        <f>C170+C171</f>
        <v>228900</v>
      </c>
      <c r="D169" s="50">
        <f aca="true" t="shared" si="31" ref="D169:N169">D170+D171</f>
        <v>175900</v>
      </c>
      <c r="E169" s="50">
        <f t="shared" si="31"/>
        <v>0</v>
      </c>
      <c r="F169" s="50">
        <f t="shared" si="31"/>
        <v>0</v>
      </c>
      <c r="G169" s="50">
        <f t="shared" si="31"/>
        <v>0</v>
      </c>
      <c r="H169" s="50">
        <f t="shared" si="31"/>
        <v>0</v>
      </c>
      <c r="I169" s="50">
        <f t="shared" si="31"/>
        <v>289511</v>
      </c>
      <c r="J169" s="50">
        <f>J170+J171</f>
        <v>280356</v>
      </c>
      <c r="K169" s="50">
        <f t="shared" si="31"/>
        <v>0</v>
      </c>
      <c r="L169" s="50">
        <f t="shared" si="31"/>
        <v>3300</v>
      </c>
      <c r="M169" s="50">
        <f t="shared" si="31"/>
        <v>0</v>
      </c>
      <c r="N169" s="50">
        <f t="shared" si="31"/>
        <v>0</v>
      </c>
      <c r="O169" s="38">
        <f t="shared" si="29"/>
        <v>521711</v>
      </c>
      <c r="Q169" s="94"/>
      <c r="T169" s="94"/>
      <c r="U169" s="94"/>
    </row>
    <row r="170" spans="1:21" s="12" customFormat="1" ht="15" customHeight="1">
      <c r="A170" s="51" t="s">
        <v>272</v>
      </c>
      <c r="B170" s="45" t="s">
        <v>33</v>
      </c>
      <c r="C170" s="49">
        <v>49580</v>
      </c>
      <c r="D170" s="49">
        <v>47200</v>
      </c>
      <c r="E170" s="49"/>
      <c r="F170" s="49"/>
      <c r="G170" s="49"/>
      <c r="H170" s="49"/>
      <c r="I170" s="49">
        <v>51548</v>
      </c>
      <c r="J170" s="49">
        <v>49366</v>
      </c>
      <c r="K170" s="49"/>
      <c r="L170" s="49">
        <v>2700</v>
      </c>
      <c r="M170" s="49"/>
      <c r="N170" s="49"/>
      <c r="O170" s="38">
        <f t="shared" si="29"/>
        <v>103828</v>
      </c>
      <c r="Q170" s="94"/>
      <c r="T170" s="94"/>
      <c r="U170" s="94"/>
    </row>
    <row r="171" spans="1:21" s="12" customFormat="1" ht="15" customHeight="1">
      <c r="A171" s="71" t="s">
        <v>273</v>
      </c>
      <c r="B171" s="45" t="s">
        <v>32</v>
      </c>
      <c r="C171" s="49">
        <f>177320+2000</f>
        <v>179320</v>
      </c>
      <c r="D171" s="49">
        <v>128700</v>
      </c>
      <c r="E171" s="49"/>
      <c r="F171" s="49"/>
      <c r="G171" s="49"/>
      <c r="H171" s="49"/>
      <c r="I171" s="49">
        <f>232618+5345</f>
        <v>237963</v>
      </c>
      <c r="J171" s="49">
        <f>225645+5345</f>
        <v>230990</v>
      </c>
      <c r="K171" s="49"/>
      <c r="L171" s="49">
        <f>400+200</f>
        <v>600</v>
      </c>
      <c r="M171" s="49"/>
      <c r="N171" s="49"/>
      <c r="O171" s="38">
        <f t="shared" si="29"/>
        <v>417883</v>
      </c>
      <c r="Q171" s="94"/>
      <c r="T171" s="94"/>
      <c r="U171" s="94"/>
    </row>
    <row r="172" spans="1:21" s="12" customFormat="1" ht="29.25" customHeight="1">
      <c r="A172" s="50" t="s">
        <v>170</v>
      </c>
      <c r="B172" s="72" t="s">
        <v>248</v>
      </c>
      <c r="C172" s="50">
        <f>C173+C174</f>
        <v>221600</v>
      </c>
      <c r="D172" s="50">
        <f>D173+D174</f>
        <v>179500</v>
      </c>
      <c r="E172" s="50">
        <f aca="true" t="shared" si="32" ref="E172:N172">E173+E174</f>
        <v>0</v>
      </c>
      <c r="F172" s="50">
        <f t="shared" si="32"/>
        <v>0</v>
      </c>
      <c r="G172" s="50">
        <f t="shared" si="32"/>
        <v>0</v>
      </c>
      <c r="H172" s="50">
        <f t="shared" si="32"/>
        <v>0</v>
      </c>
      <c r="I172" s="50">
        <f t="shared" si="32"/>
        <v>267329</v>
      </c>
      <c r="J172" s="50">
        <f>J173+J174</f>
        <v>259451</v>
      </c>
      <c r="K172" s="50">
        <f t="shared" si="32"/>
        <v>0</v>
      </c>
      <c r="L172" s="50">
        <f t="shared" si="32"/>
        <v>6820</v>
      </c>
      <c r="M172" s="50">
        <f t="shared" si="32"/>
        <v>0</v>
      </c>
      <c r="N172" s="50">
        <f t="shared" si="32"/>
        <v>0</v>
      </c>
      <c r="O172" s="38">
        <f>C172+F172+I172+L172</f>
        <v>495749</v>
      </c>
      <c r="Q172" s="94"/>
      <c r="T172" s="94"/>
      <c r="U172" s="94"/>
    </row>
    <row r="173" spans="1:21" s="12" customFormat="1" ht="15" customHeight="1">
      <c r="A173" s="52" t="s">
        <v>471</v>
      </c>
      <c r="B173" s="45" t="s">
        <v>33</v>
      </c>
      <c r="C173" s="49">
        <v>36190</v>
      </c>
      <c r="D173" s="49">
        <v>34400</v>
      </c>
      <c r="E173" s="49"/>
      <c r="F173" s="49"/>
      <c r="G173" s="49"/>
      <c r="H173" s="49"/>
      <c r="I173" s="49">
        <v>11761</v>
      </c>
      <c r="J173" s="49">
        <v>10833</v>
      </c>
      <c r="K173" s="49"/>
      <c r="L173" s="49">
        <v>6770</v>
      </c>
      <c r="M173" s="49"/>
      <c r="N173" s="49"/>
      <c r="O173" s="38">
        <f>C173+F173+I173+L173</f>
        <v>54721</v>
      </c>
      <c r="Q173" s="94"/>
      <c r="T173" s="94"/>
      <c r="U173" s="94"/>
    </row>
    <row r="174" spans="1:21" s="12" customFormat="1" ht="15" customHeight="1">
      <c r="A174" s="71" t="s">
        <v>472</v>
      </c>
      <c r="B174" s="45" t="s">
        <v>32</v>
      </c>
      <c r="C174" s="49">
        <f>179010+6400</f>
        <v>185410</v>
      </c>
      <c r="D174" s="49">
        <f>141100+4000</f>
        <v>145100</v>
      </c>
      <c r="E174" s="49"/>
      <c r="F174" s="49"/>
      <c r="G174" s="49"/>
      <c r="H174" s="49"/>
      <c r="I174" s="49">
        <f>244225+11343</f>
        <v>255568</v>
      </c>
      <c r="J174" s="49">
        <f>237275+11343</f>
        <v>248618</v>
      </c>
      <c r="K174" s="49"/>
      <c r="L174" s="49">
        <v>50</v>
      </c>
      <c r="M174" s="49"/>
      <c r="N174" s="49"/>
      <c r="O174" s="38">
        <f>C174+F174+I174+L174</f>
        <v>441028</v>
      </c>
      <c r="Q174" s="94"/>
      <c r="T174" s="94"/>
      <c r="U174" s="94"/>
    </row>
    <row r="175" spans="1:21" s="12" customFormat="1" ht="30.75" customHeight="1">
      <c r="A175" s="50" t="s">
        <v>171</v>
      </c>
      <c r="B175" s="72" t="s">
        <v>35</v>
      </c>
      <c r="C175" s="50">
        <f>C176+C177</f>
        <v>246200</v>
      </c>
      <c r="D175" s="50">
        <f>D176+D177</f>
        <v>190300</v>
      </c>
      <c r="E175" s="50">
        <f aca="true" t="shared" si="33" ref="E175:N175">E176+E177</f>
        <v>1000</v>
      </c>
      <c r="F175" s="50">
        <f t="shared" si="33"/>
        <v>0</v>
      </c>
      <c r="G175" s="50">
        <f t="shared" si="33"/>
        <v>0</v>
      </c>
      <c r="H175" s="50">
        <f t="shared" si="33"/>
        <v>0</v>
      </c>
      <c r="I175" s="50">
        <f t="shared" si="33"/>
        <v>369657</v>
      </c>
      <c r="J175" s="50">
        <f>J176+J177</f>
        <v>356069</v>
      </c>
      <c r="K175" s="50">
        <f t="shared" si="33"/>
        <v>0</v>
      </c>
      <c r="L175" s="50">
        <f t="shared" si="33"/>
        <v>3750</v>
      </c>
      <c r="M175" s="50">
        <f t="shared" si="33"/>
        <v>0</v>
      </c>
      <c r="N175" s="50">
        <f t="shared" si="33"/>
        <v>0</v>
      </c>
      <c r="O175" s="38">
        <f t="shared" si="29"/>
        <v>619607</v>
      </c>
      <c r="Q175" s="94"/>
      <c r="T175" s="94"/>
      <c r="U175" s="94"/>
    </row>
    <row r="176" spans="1:21" s="12" customFormat="1" ht="15" customHeight="1">
      <c r="A176" s="52" t="s">
        <v>225</v>
      </c>
      <c r="B176" s="45" t="s">
        <v>33</v>
      </c>
      <c r="C176" s="49">
        <v>63870</v>
      </c>
      <c r="D176" s="49">
        <v>56440</v>
      </c>
      <c r="E176" s="49"/>
      <c r="F176" s="49"/>
      <c r="G176" s="49"/>
      <c r="H176" s="49"/>
      <c r="I176" s="49">
        <v>32794</v>
      </c>
      <c r="J176" s="49">
        <v>31000</v>
      </c>
      <c r="K176" s="49"/>
      <c r="L176" s="49">
        <v>3650</v>
      </c>
      <c r="M176" s="49"/>
      <c r="N176" s="49"/>
      <c r="O176" s="38">
        <f t="shared" si="29"/>
        <v>100314</v>
      </c>
      <c r="Q176" s="94"/>
      <c r="T176" s="94"/>
      <c r="U176" s="94"/>
    </row>
    <row r="177" spans="1:21" s="12" customFormat="1" ht="15" customHeight="1">
      <c r="A177" s="71" t="s">
        <v>226</v>
      </c>
      <c r="B177" s="45" t="s">
        <v>32</v>
      </c>
      <c r="C177" s="49">
        <f>179330+3000</f>
        <v>182330</v>
      </c>
      <c r="D177" s="49">
        <v>133860</v>
      </c>
      <c r="E177" s="49">
        <v>1000</v>
      </c>
      <c r="F177" s="49"/>
      <c r="G177" s="49"/>
      <c r="H177" s="49"/>
      <c r="I177" s="49">
        <f>335506+1357</f>
        <v>336863</v>
      </c>
      <c r="J177" s="49">
        <f>323712+1357</f>
        <v>325069</v>
      </c>
      <c r="K177" s="49"/>
      <c r="L177" s="49">
        <v>100</v>
      </c>
      <c r="M177" s="49"/>
      <c r="N177" s="49"/>
      <c r="O177" s="38">
        <f t="shared" si="29"/>
        <v>519293</v>
      </c>
      <c r="Q177" s="94"/>
      <c r="T177" s="94"/>
      <c r="U177" s="94"/>
    </row>
    <row r="178" spans="1:21" s="12" customFormat="1" ht="31.5" customHeight="1">
      <c r="A178" s="50" t="s">
        <v>172</v>
      </c>
      <c r="B178" s="72" t="s">
        <v>36</v>
      </c>
      <c r="C178" s="50">
        <f>C179+C180</f>
        <v>242100</v>
      </c>
      <c r="D178" s="50">
        <f aca="true" t="shared" si="34" ref="D178:L178">D179+D180</f>
        <v>199400</v>
      </c>
      <c r="E178" s="50">
        <f t="shared" si="34"/>
        <v>0</v>
      </c>
      <c r="F178" s="50">
        <f t="shared" si="34"/>
        <v>0</v>
      </c>
      <c r="G178" s="50">
        <f t="shared" si="34"/>
        <v>0</v>
      </c>
      <c r="H178" s="50">
        <f t="shared" si="34"/>
        <v>0</v>
      </c>
      <c r="I178" s="50">
        <f t="shared" si="34"/>
        <v>299958</v>
      </c>
      <c r="J178" s="50">
        <f>J179+J180</f>
        <v>290390</v>
      </c>
      <c r="K178" s="50">
        <f t="shared" si="34"/>
        <v>0</v>
      </c>
      <c r="L178" s="50">
        <f t="shared" si="34"/>
        <v>2840</v>
      </c>
      <c r="M178" s="50">
        <f>M179+M180</f>
        <v>0</v>
      </c>
      <c r="N178" s="50">
        <f>N179+N180</f>
        <v>0</v>
      </c>
      <c r="O178" s="38">
        <f t="shared" si="29"/>
        <v>544898</v>
      </c>
      <c r="Q178" s="94"/>
      <c r="T178" s="94"/>
      <c r="U178" s="94"/>
    </row>
    <row r="179" spans="1:21" s="12" customFormat="1" ht="15" customHeight="1">
      <c r="A179" s="52" t="s">
        <v>266</v>
      </c>
      <c r="B179" s="45" t="s">
        <v>33</v>
      </c>
      <c r="C179" s="49">
        <v>89770</v>
      </c>
      <c r="D179" s="49">
        <v>87000</v>
      </c>
      <c r="E179" s="49"/>
      <c r="F179" s="49"/>
      <c r="G179" s="49"/>
      <c r="H179" s="49"/>
      <c r="I179" s="49">
        <v>20800</v>
      </c>
      <c r="J179" s="49">
        <v>20500</v>
      </c>
      <c r="K179" s="49"/>
      <c r="L179" s="49">
        <v>2840</v>
      </c>
      <c r="M179" s="49"/>
      <c r="N179" s="49"/>
      <c r="O179" s="38">
        <f t="shared" si="29"/>
        <v>113410</v>
      </c>
      <c r="Q179" s="94"/>
      <c r="T179" s="94"/>
      <c r="U179" s="94"/>
    </row>
    <row r="180" spans="1:21" s="12" customFormat="1" ht="15" customHeight="1">
      <c r="A180" s="71" t="s">
        <v>267</v>
      </c>
      <c r="B180" s="45" t="s">
        <v>32</v>
      </c>
      <c r="C180" s="49">
        <f>151830+500</f>
        <v>152330</v>
      </c>
      <c r="D180" s="49">
        <v>112400</v>
      </c>
      <c r="E180" s="49"/>
      <c r="F180" s="49"/>
      <c r="G180" s="49"/>
      <c r="H180" s="49"/>
      <c r="I180" s="49">
        <f>278088+1070</f>
        <v>279158</v>
      </c>
      <c r="J180" s="49">
        <f>268820+1070</f>
        <v>269890</v>
      </c>
      <c r="K180" s="49"/>
      <c r="L180" s="49"/>
      <c r="M180" s="49"/>
      <c r="N180" s="49"/>
      <c r="O180" s="38">
        <f t="shared" si="29"/>
        <v>431488</v>
      </c>
      <c r="Q180" s="94"/>
      <c r="T180" s="94"/>
      <c r="U180" s="94"/>
    </row>
    <row r="181" spans="1:21" s="12" customFormat="1" ht="30" customHeight="1">
      <c r="A181" s="50" t="s">
        <v>173</v>
      </c>
      <c r="B181" s="72" t="s">
        <v>50</v>
      </c>
      <c r="C181" s="50">
        <f>C182+C183</f>
        <v>231700</v>
      </c>
      <c r="D181" s="50">
        <f aca="true" t="shared" si="35" ref="D181:L181">D182+D183</f>
        <v>168900</v>
      </c>
      <c r="E181" s="50">
        <f t="shared" si="35"/>
        <v>0</v>
      </c>
      <c r="F181" s="50">
        <f t="shared" si="35"/>
        <v>0</v>
      </c>
      <c r="G181" s="50">
        <f t="shared" si="35"/>
        <v>0</v>
      </c>
      <c r="H181" s="50">
        <f t="shared" si="35"/>
        <v>0</v>
      </c>
      <c r="I181" s="50">
        <f t="shared" si="35"/>
        <v>318816</v>
      </c>
      <c r="J181" s="50">
        <f>J182+J183</f>
        <v>308333</v>
      </c>
      <c r="K181" s="50">
        <f t="shared" si="35"/>
        <v>0</v>
      </c>
      <c r="L181" s="50">
        <f t="shared" si="35"/>
        <v>7440</v>
      </c>
      <c r="M181" s="50">
        <f>M182+M183</f>
        <v>0</v>
      </c>
      <c r="N181" s="50">
        <f>N182+N183</f>
        <v>0</v>
      </c>
      <c r="O181" s="38">
        <f t="shared" si="29"/>
        <v>557956</v>
      </c>
      <c r="Q181" s="94"/>
      <c r="T181" s="94"/>
      <c r="U181" s="94"/>
    </row>
    <row r="182" spans="1:21" s="12" customFormat="1" ht="15" customHeight="1">
      <c r="A182" s="71" t="s">
        <v>102</v>
      </c>
      <c r="B182" s="45" t="s">
        <v>33</v>
      </c>
      <c r="C182" s="49">
        <v>70762</v>
      </c>
      <c r="D182" s="49">
        <v>54500</v>
      </c>
      <c r="E182" s="49"/>
      <c r="F182" s="49"/>
      <c r="G182" s="49"/>
      <c r="H182" s="49"/>
      <c r="I182" s="49">
        <v>15800</v>
      </c>
      <c r="J182" s="49">
        <v>14470</v>
      </c>
      <c r="K182" s="49"/>
      <c r="L182" s="49">
        <v>7440</v>
      </c>
      <c r="M182" s="49"/>
      <c r="N182" s="49"/>
      <c r="O182" s="38">
        <f t="shared" si="29"/>
        <v>94002</v>
      </c>
      <c r="Q182" s="94"/>
      <c r="T182" s="94"/>
      <c r="U182" s="94"/>
    </row>
    <row r="183" spans="1:21" s="12" customFormat="1" ht="15" customHeight="1">
      <c r="A183" s="71" t="s">
        <v>103</v>
      </c>
      <c r="B183" s="45" t="s">
        <v>32</v>
      </c>
      <c r="C183" s="49">
        <f>156738+4200</f>
        <v>160938</v>
      </c>
      <c r="D183" s="49">
        <v>114400</v>
      </c>
      <c r="E183" s="49"/>
      <c r="F183" s="49"/>
      <c r="G183" s="49"/>
      <c r="H183" s="49"/>
      <c r="I183" s="49">
        <f>294815+8201</f>
        <v>303016</v>
      </c>
      <c r="J183" s="49">
        <f>285662+8201</f>
        <v>293863</v>
      </c>
      <c r="K183" s="49"/>
      <c r="L183" s="49"/>
      <c r="M183" s="49"/>
      <c r="N183" s="49"/>
      <c r="O183" s="38">
        <f t="shared" si="29"/>
        <v>463954</v>
      </c>
      <c r="Q183" s="94"/>
      <c r="T183" s="94"/>
      <c r="U183" s="94"/>
    </row>
    <row r="184" spans="1:21" s="12" customFormat="1" ht="21" customHeight="1">
      <c r="A184" s="50" t="s">
        <v>174</v>
      </c>
      <c r="B184" s="130" t="s">
        <v>37</v>
      </c>
      <c r="C184" s="50">
        <f>C185+C186</f>
        <v>252600</v>
      </c>
      <c r="D184" s="50">
        <f aca="true" t="shared" si="36" ref="D184:N184">D185+D186</f>
        <v>206100</v>
      </c>
      <c r="E184" s="50">
        <f t="shared" si="36"/>
        <v>0</v>
      </c>
      <c r="F184" s="50">
        <f t="shared" si="36"/>
        <v>0</v>
      </c>
      <c r="G184" s="50">
        <f t="shared" si="36"/>
        <v>0</v>
      </c>
      <c r="H184" s="50">
        <f t="shared" si="36"/>
        <v>0</v>
      </c>
      <c r="I184" s="50">
        <f t="shared" si="36"/>
        <v>299539</v>
      </c>
      <c r="J184" s="50">
        <f>J185+J186</f>
        <v>290107</v>
      </c>
      <c r="K184" s="50">
        <f t="shared" si="36"/>
        <v>0</v>
      </c>
      <c r="L184" s="50">
        <f t="shared" si="36"/>
        <v>9910</v>
      </c>
      <c r="M184" s="50">
        <f t="shared" si="36"/>
        <v>0</v>
      </c>
      <c r="N184" s="50">
        <f t="shared" si="36"/>
        <v>0</v>
      </c>
      <c r="O184" s="38">
        <f t="shared" si="29"/>
        <v>562049</v>
      </c>
      <c r="Q184" s="94"/>
      <c r="T184" s="94"/>
      <c r="U184" s="94"/>
    </row>
    <row r="185" spans="1:21" s="12" customFormat="1" ht="15" customHeight="1">
      <c r="A185" s="71" t="s">
        <v>106</v>
      </c>
      <c r="B185" s="45" t="s">
        <v>33</v>
      </c>
      <c r="C185" s="49">
        <v>94755</v>
      </c>
      <c r="D185" s="49">
        <v>80070</v>
      </c>
      <c r="E185" s="49"/>
      <c r="F185" s="49"/>
      <c r="G185" s="49"/>
      <c r="H185" s="49"/>
      <c r="I185" s="49">
        <v>23601</v>
      </c>
      <c r="J185" s="49">
        <v>22200</v>
      </c>
      <c r="K185" s="49"/>
      <c r="L185" s="49">
        <v>9910</v>
      </c>
      <c r="M185" s="49"/>
      <c r="N185" s="49"/>
      <c r="O185" s="38">
        <f t="shared" si="29"/>
        <v>128266</v>
      </c>
      <c r="Q185" s="94"/>
      <c r="T185" s="94"/>
      <c r="U185" s="94"/>
    </row>
    <row r="186" spans="1:21" s="12" customFormat="1" ht="15" customHeight="1">
      <c r="A186" s="71" t="s">
        <v>107</v>
      </c>
      <c r="B186" s="45" t="s">
        <v>32</v>
      </c>
      <c r="C186" s="49">
        <f>156345+1500</f>
        <v>157845</v>
      </c>
      <c r="D186" s="49">
        <f>124530+1500</f>
        <v>126030</v>
      </c>
      <c r="E186" s="49"/>
      <c r="F186" s="49"/>
      <c r="G186" s="49"/>
      <c r="H186" s="49"/>
      <c r="I186" s="49">
        <f>274655+1283</f>
        <v>275938</v>
      </c>
      <c r="J186" s="49">
        <f>266624+1283</f>
        <v>267907</v>
      </c>
      <c r="K186" s="49"/>
      <c r="L186" s="49"/>
      <c r="M186" s="49"/>
      <c r="N186" s="49"/>
      <c r="O186" s="38">
        <f t="shared" si="29"/>
        <v>433783</v>
      </c>
      <c r="Q186" s="94"/>
      <c r="T186" s="94"/>
      <c r="U186" s="94"/>
    </row>
    <row r="187" spans="1:21" s="12" customFormat="1" ht="17.25" customHeight="1">
      <c r="A187" s="50" t="s">
        <v>175</v>
      </c>
      <c r="B187" s="72" t="s">
        <v>197</v>
      </c>
      <c r="C187" s="50">
        <f>C188+C189</f>
        <v>419800</v>
      </c>
      <c r="D187" s="50">
        <f aca="true" t="shared" si="37" ref="D187:N187">D188+D189</f>
        <v>385000</v>
      </c>
      <c r="E187" s="50">
        <f t="shared" si="37"/>
        <v>0</v>
      </c>
      <c r="F187" s="50">
        <f t="shared" si="37"/>
        <v>12800</v>
      </c>
      <c r="G187" s="50">
        <f t="shared" si="37"/>
        <v>0</v>
      </c>
      <c r="H187" s="50">
        <f t="shared" si="37"/>
        <v>0</v>
      </c>
      <c r="I187" s="50">
        <f t="shared" si="37"/>
        <v>256418</v>
      </c>
      <c r="J187" s="50">
        <f>J188+J189</f>
        <v>244677</v>
      </c>
      <c r="K187" s="50">
        <f t="shared" si="37"/>
        <v>0</v>
      </c>
      <c r="L187" s="50">
        <f t="shared" si="37"/>
        <v>66240</v>
      </c>
      <c r="M187" s="50">
        <f t="shared" si="37"/>
        <v>0</v>
      </c>
      <c r="N187" s="50">
        <f t="shared" si="37"/>
        <v>4300</v>
      </c>
      <c r="O187" s="38">
        <f>C187+F187+I187+L187</f>
        <v>755258</v>
      </c>
      <c r="Q187" s="94"/>
      <c r="T187" s="94"/>
      <c r="U187" s="94"/>
    </row>
    <row r="188" spans="1:21" s="12" customFormat="1" ht="15" customHeight="1">
      <c r="A188" s="71" t="s">
        <v>473</v>
      </c>
      <c r="B188" s="45" t="s">
        <v>33</v>
      </c>
      <c r="C188" s="49">
        <f>407540-12800</f>
        <v>394740</v>
      </c>
      <c r="D188" s="49">
        <v>360300</v>
      </c>
      <c r="E188" s="49"/>
      <c r="F188" s="49">
        <v>12800</v>
      </c>
      <c r="G188" s="49"/>
      <c r="H188" s="49"/>
      <c r="I188" s="49">
        <v>180609</v>
      </c>
      <c r="J188" s="49">
        <v>170395</v>
      </c>
      <c r="K188" s="49"/>
      <c r="L188" s="49">
        <f>58240+8000</f>
        <v>66240</v>
      </c>
      <c r="M188" s="49"/>
      <c r="N188" s="49">
        <v>4300</v>
      </c>
      <c r="O188" s="38">
        <f>C188+F188+I188+L188</f>
        <v>654389</v>
      </c>
      <c r="Q188" s="94"/>
      <c r="T188" s="94"/>
      <c r="U188" s="94"/>
    </row>
    <row r="189" spans="1:21" s="12" customFormat="1" ht="15" customHeight="1">
      <c r="A189" s="71" t="s">
        <v>474</v>
      </c>
      <c r="B189" s="45" t="s">
        <v>32</v>
      </c>
      <c r="C189" s="49">
        <v>25060</v>
      </c>
      <c r="D189" s="49">
        <v>24700</v>
      </c>
      <c r="E189" s="49"/>
      <c r="F189" s="49"/>
      <c r="G189" s="49"/>
      <c r="H189" s="49"/>
      <c r="I189" s="49">
        <f>71727+4082</f>
        <v>75809</v>
      </c>
      <c r="J189" s="49">
        <f>70200+4082</f>
        <v>74282</v>
      </c>
      <c r="K189" s="49"/>
      <c r="L189" s="49"/>
      <c r="M189" s="49"/>
      <c r="N189" s="49"/>
      <c r="O189" s="38">
        <f>C189+F189+I189+L189</f>
        <v>100869</v>
      </c>
      <c r="Q189" s="94"/>
      <c r="T189" s="94"/>
      <c r="U189" s="94"/>
    </row>
    <row r="190" spans="1:21" s="12" customFormat="1" ht="20.25" customHeight="1">
      <c r="A190" s="50" t="s">
        <v>176</v>
      </c>
      <c r="B190" s="109" t="s">
        <v>38</v>
      </c>
      <c r="C190" s="50">
        <f>C191+C192</f>
        <v>309400</v>
      </c>
      <c r="D190" s="50">
        <f aca="true" t="shared" si="38" ref="D190:K190">D191+D192</f>
        <v>270000</v>
      </c>
      <c r="E190" s="50">
        <f t="shared" si="38"/>
        <v>0</v>
      </c>
      <c r="F190" s="50">
        <f t="shared" si="38"/>
        <v>0</v>
      </c>
      <c r="G190" s="50">
        <f t="shared" si="38"/>
        <v>0</v>
      </c>
      <c r="H190" s="50">
        <f t="shared" si="38"/>
        <v>0</v>
      </c>
      <c r="I190" s="50">
        <f t="shared" si="38"/>
        <v>198024</v>
      </c>
      <c r="J190" s="50">
        <f>J191+J192</f>
        <v>189547</v>
      </c>
      <c r="K190" s="50">
        <f t="shared" si="38"/>
        <v>0</v>
      </c>
      <c r="L190" s="50">
        <f>L191+L192</f>
        <v>36800</v>
      </c>
      <c r="M190" s="50">
        <f>M191+M192</f>
        <v>0</v>
      </c>
      <c r="N190" s="50">
        <f>N191+N192</f>
        <v>600</v>
      </c>
      <c r="O190" s="38">
        <f t="shared" si="29"/>
        <v>544224</v>
      </c>
      <c r="Q190" s="94"/>
      <c r="T190" s="94"/>
      <c r="U190" s="94"/>
    </row>
    <row r="191" spans="1:21" s="12" customFormat="1" ht="15" customHeight="1">
      <c r="A191" s="71" t="s">
        <v>227</v>
      </c>
      <c r="B191" s="45" t="s">
        <v>33</v>
      </c>
      <c r="C191" s="49">
        <f>259330+8000</f>
        <v>267330</v>
      </c>
      <c r="D191" s="49">
        <f>228200+8000</f>
        <v>236200</v>
      </c>
      <c r="E191" s="49"/>
      <c r="F191" s="49"/>
      <c r="G191" s="49"/>
      <c r="H191" s="49"/>
      <c r="I191" s="49">
        <v>93821</v>
      </c>
      <c r="J191" s="49">
        <v>88579</v>
      </c>
      <c r="K191" s="49"/>
      <c r="L191" s="49">
        <v>34070</v>
      </c>
      <c r="M191" s="49"/>
      <c r="N191" s="49">
        <v>600</v>
      </c>
      <c r="O191" s="38">
        <f t="shared" si="29"/>
        <v>395221</v>
      </c>
      <c r="Q191" s="94"/>
      <c r="T191" s="94"/>
      <c r="U191" s="94"/>
    </row>
    <row r="192" spans="1:21" s="12" customFormat="1" ht="15" customHeight="1">
      <c r="A192" s="71" t="s">
        <v>228</v>
      </c>
      <c r="B192" s="45" t="s">
        <v>32</v>
      </c>
      <c r="C192" s="49">
        <v>42070</v>
      </c>
      <c r="D192" s="49">
        <v>33800</v>
      </c>
      <c r="E192" s="49"/>
      <c r="F192" s="49"/>
      <c r="G192" s="49"/>
      <c r="H192" s="49"/>
      <c r="I192" s="49">
        <f>103006+1197</f>
        <v>104203</v>
      </c>
      <c r="J192" s="49">
        <f>99771+1197</f>
        <v>100968</v>
      </c>
      <c r="K192" s="49"/>
      <c r="L192" s="49">
        <f>30+2700</f>
        <v>2730</v>
      </c>
      <c r="M192" s="49"/>
      <c r="N192" s="49"/>
      <c r="O192" s="38">
        <f t="shared" si="29"/>
        <v>149003</v>
      </c>
      <c r="Q192" s="94"/>
      <c r="T192" s="94"/>
      <c r="U192" s="94"/>
    </row>
    <row r="193" spans="1:21" s="12" customFormat="1" ht="20.25" customHeight="1">
      <c r="A193" s="50" t="s">
        <v>177</v>
      </c>
      <c r="B193" s="109" t="s">
        <v>22</v>
      </c>
      <c r="C193" s="50">
        <f>405200+15000</f>
        <v>420200</v>
      </c>
      <c r="D193" s="50">
        <f>360000+14800</f>
        <v>374800</v>
      </c>
      <c r="E193" s="50"/>
      <c r="F193" s="50"/>
      <c r="G193" s="50"/>
      <c r="H193" s="50"/>
      <c r="I193" s="50">
        <f>229111+59</f>
        <v>229170</v>
      </c>
      <c r="J193" s="50">
        <f>216889+59</f>
        <v>216948</v>
      </c>
      <c r="K193" s="50"/>
      <c r="L193" s="50">
        <f>200+74220-5000</f>
        <v>69420</v>
      </c>
      <c r="M193" s="50"/>
      <c r="N193" s="50"/>
      <c r="O193" s="38">
        <f t="shared" si="29"/>
        <v>718790</v>
      </c>
      <c r="Q193" s="94"/>
      <c r="T193" s="94"/>
      <c r="U193" s="94"/>
    </row>
    <row r="194" spans="1:21" s="12" customFormat="1" ht="19.5" customHeight="1">
      <c r="A194" s="50" t="s">
        <v>178</v>
      </c>
      <c r="B194" s="72" t="s">
        <v>53</v>
      </c>
      <c r="C194" s="50">
        <f>336600-15900</f>
        <v>320700</v>
      </c>
      <c r="D194" s="50">
        <f>320800-15675</f>
        <v>305125</v>
      </c>
      <c r="E194" s="50"/>
      <c r="F194" s="50">
        <f>15900+3400</f>
        <v>19300</v>
      </c>
      <c r="G194" s="50">
        <f>15675+3400</f>
        <v>19075</v>
      </c>
      <c r="H194" s="50"/>
      <c r="I194" s="50">
        <f>50604+4145</f>
        <v>54749</v>
      </c>
      <c r="J194" s="50">
        <f>41000+4145</f>
        <v>45145</v>
      </c>
      <c r="K194" s="50">
        <v>9009</v>
      </c>
      <c r="L194" s="50">
        <f>900+35090</f>
        <v>35990</v>
      </c>
      <c r="M194" s="50">
        <v>23000</v>
      </c>
      <c r="N194" s="50"/>
      <c r="O194" s="38">
        <f t="shared" si="29"/>
        <v>430739</v>
      </c>
      <c r="Q194" s="94"/>
      <c r="T194" s="94"/>
      <c r="U194" s="94"/>
    </row>
    <row r="195" spans="1:21" s="12" customFormat="1" ht="30.75" customHeight="1">
      <c r="A195" s="50" t="s">
        <v>179</v>
      </c>
      <c r="B195" s="72" t="s">
        <v>555</v>
      </c>
      <c r="C195" s="50">
        <v>95100</v>
      </c>
      <c r="D195" s="50">
        <v>75000</v>
      </c>
      <c r="E195" s="50"/>
      <c r="F195" s="50"/>
      <c r="G195" s="50"/>
      <c r="H195" s="50"/>
      <c r="I195" s="50">
        <f>48943+16061</f>
        <v>65004</v>
      </c>
      <c r="J195" s="50">
        <f>48244+16061</f>
        <v>64305</v>
      </c>
      <c r="K195" s="50"/>
      <c r="L195" s="50">
        <f>2000+31510</f>
        <v>33510</v>
      </c>
      <c r="M195" s="50"/>
      <c r="N195" s="50"/>
      <c r="O195" s="38">
        <f t="shared" si="29"/>
        <v>193614</v>
      </c>
      <c r="Q195" s="94"/>
      <c r="T195" s="94"/>
      <c r="U195" s="94"/>
    </row>
    <row r="196" spans="1:21" s="14" customFormat="1" ht="18" customHeight="1">
      <c r="A196" s="50" t="s">
        <v>180</v>
      </c>
      <c r="B196" s="64" t="s">
        <v>52</v>
      </c>
      <c r="C196" s="50">
        <f aca="true" t="shared" si="39" ref="C196:N196">SUM(C197:C205)</f>
        <v>704812</v>
      </c>
      <c r="D196" s="50">
        <f t="shared" si="39"/>
        <v>0</v>
      </c>
      <c r="E196" s="50">
        <f t="shared" si="39"/>
        <v>225312</v>
      </c>
      <c r="F196" s="50">
        <f t="shared" si="39"/>
        <v>510566</v>
      </c>
      <c r="G196" s="50">
        <f t="shared" si="39"/>
        <v>0</v>
      </c>
      <c r="H196" s="50">
        <f t="shared" si="39"/>
        <v>389062</v>
      </c>
      <c r="I196" s="50">
        <f t="shared" si="39"/>
        <v>0</v>
      </c>
      <c r="J196" s="50">
        <f t="shared" si="39"/>
        <v>0</v>
      </c>
      <c r="K196" s="50">
        <f t="shared" si="39"/>
        <v>0</v>
      </c>
      <c r="L196" s="50">
        <f t="shared" si="39"/>
        <v>0</v>
      </c>
      <c r="M196" s="50">
        <f t="shared" si="39"/>
        <v>0</v>
      </c>
      <c r="N196" s="50">
        <f t="shared" si="39"/>
        <v>0</v>
      </c>
      <c r="O196" s="38">
        <f t="shared" si="29"/>
        <v>1215378</v>
      </c>
      <c r="Q196" s="95"/>
      <c r="T196" s="95"/>
      <c r="U196" s="95"/>
    </row>
    <row r="197" spans="1:21" s="12" customFormat="1" ht="15" customHeight="1">
      <c r="A197" s="71" t="s">
        <v>475</v>
      </c>
      <c r="B197" s="45" t="s">
        <v>44</v>
      </c>
      <c r="C197" s="49">
        <f>380000+42500+44000</f>
        <v>466500</v>
      </c>
      <c r="D197" s="49"/>
      <c r="E197" s="49"/>
      <c r="F197" s="50"/>
      <c r="G197" s="49"/>
      <c r="H197" s="49"/>
      <c r="I197" s="50"/>
      <c r="J197" s="50"/>
      <c r="K197" s="49"/>
      <c r="L197" s="50"/>
      <c r="M197" s="49"/>
      <c r="N197" s="49"/>
      <c r="O197" s="38">
        <f t="shared" si="29"/>
        <v>466500</v>
      </c>
      <c r="Q197" s="94"/>
      <c r="T197" s="94"/>
      <c r="U197" s="94"/>
    </row>
    <row r="198" spans="1:21" s="12" customFormat="1" ht="28.5" customHeight="1">
      <c r="A198" s="71" t="s">
        <v>476</v>
      </c>
      <c r="B198" s="45" t="s">
        <v>258</v>
      </c>
      <c r="C198" s="49">
        <v>5000</v>
      </c>
      <c r="D198" s="49"/>
      <c r="E198" s="49"/>
      <c r="F198" s="50"/>
      <c r="G198" s="49"/>
      <c r="H198" s="49"/>
      <c r="I198" s="50"/>
      <c r="J198" s="50"/>
      <c r="K198" s="49"/>
      <c r="L198" s="50"/>
      <c r="M198" s="49"/>
      <c r="N198" s="49"/>
      <c r="O198" s="38">
        <f t="shared" si="29"/>
        <v>5000</v>
      </c>
      <c r="Q198" s="94"/>
      <c r="T198" s="94"/>
      <c r="U198" s="94"/>
    </row>
    <row r="199" spans="1:21" s="15" customFormat="1" ht="27.75" customHeight="1">
      <c r="A199" s="71" t="s">
        <v>477</v>
      </c>
      <c r="B199" s="45" t="s">
        <v>193</v>
      </c>
      <c r="C199" s="49">
        <v>8000</v>
      </c>
      <c r="D199" s="49"/>
      <c r="E199" s="53"/>
      <c r="F199" s="54"/>
      <c r="G199" s="53"/>
      <c r="H199" s="53"/>
      <c r="I199" s="54"/>
      <c r="J199" s="54"/>
      <c r="K199" s="53"/>
      <c r="L199" s="54"/>
      <c r="M199" s="53"/>
      <c r="N199" s="53"/>
      <c r="O199" s="38">
        <f t="shared" si="29"/>
        <v>8000</v>
      </c>
      <c r="Q199" s="96"/>
      <c r="T199" s="96"/>
      <c r="U199" s="96"/>
    </row>
    <row r="200" spans="1:21" s="15" customFormat="1" ht="17.25" customHeight="1">
      <c r="A200" s="71" t="s">
        <v>478</v>
      </c>
      <c r="B200" s="45" t="s">
        <v>279</v>
      </c>
      <c r="C200" s="49"/>
      <c r="D200" s="49"/>
      <c r="E200" s="53"/>
      <c r="F200" s="49">
        <v>121504</v>
      </c>
      <c r="G200" s="53"/>
      <c r="H200" s="53"/>
      <c r="I200" s="54"/>
      <c r="J200" s="54"/>
      <c r="K200" s="53"/>
      <c r="L200" s="54"/>
      <c r="M200" s="53"/>
      <c r="N200" s="53"/>
      <c r="O200" s="38">
        <f t="shared" si="29"/>
        <v>121504</v>
      </c>
      <c r="Q200" s="96"/>
      <c r="T200" s="96"/>
      <c r="U200" s="96"/>
    </row>
    <row r="201" spans="1:21" s="12" customFormat="1" ht="29.25" customHeight="1">
      <c r="A201" s="71" t="s">
        <v>479</v>
      </c>
      <c r="B201" s="45" t="s">
        <v>543</v>
      </c>
      <c r="C201" s="49">
        <f>47300+135700</f>
        <v>183000</v>
      </c>
      <c r="D201" s="49"/>
      <c r="E201" s="49">
        <f>47300+135700</f>
        <v>183000</v>
      </c>
      <c r="F201" s="49"/>
      <c r="G201" s="49"/>
      <c r="H201" s="49"/>
      <c r="I201" s="50"/>
      <c r="J201" s="49"/>
      <c r="K201" s="49"/>
      <c r="L201" s="50"/>
      <c r="M201" s="49"/>
      <c r="N201" s="49"/>
      <c r="O201" s="38">
        <f t="shared" si="29"/>
        <v>183000</v>
      </c>
      <c r="Q201" s="94"/>
      <c r="T201" s="94"/>
      <c r="U201" s="94"/>
    </row>
    <row r="202" spans="1:21" s="12" customFormat="1" ht="29.25" customHeight="1">
      <c r="A202" s="71" t="s">
        <v>480</v>
      </c>
      <c r="B202" s="45" t="s">
        <v>481</v>
      </c>
      <c r="C202" s="49">
        <f>4112+7500+30700</f>
        <v>42312</v>
      </c>
      <c r="D202" s="49"/>
      <c r="E202" s="49">
        <f>4112+7500+30700</f>
        <v>42312</v>
      </c>
      <c r="F202" s="49">
        <f>149603+25049</f>
        <v>174652</v>
      </c>
      <c r="G202" s="49"/>
      <c r="H202" s="49">
        <f>149603+25049</f>
        <v>174652</v>
      </c>
      <c r="I202" s="50"/>
      <c r="J202" s="49"/>
      <c r="K202" s="49"/>
      <c r="L202" s="50"/>
      <c r="M202" s="49"/>
      <c r="N202" s="49"/>
      <c r="O202" s="38">
        <f t="shared" si="29"/>
        <v>216964</v>
      </c>
      <c r="Q202" s="94"/>
      <c r="T202" s="94"/>
      <c r="U202" s="94"/>
    </row>
    <row r="203" spans="1:21" s="12" customFormat="1" ht="29.25" customHeight="1">
      <c r="A203" s="71" t="s">
        <v>482</v>
      </c>
      <c r="B203" s="45" t="s">
        <v>483</v>
      </c>
      <c r="C203" s="49"/>
      <c r="D203" s="49"/>
      <c r="E203" s="49"/>
      <c r="F203" s="49">
        <f>150069+15893</f>
        <v>165962</v>
      </c>
      <c r="G203" s="49"/>
      <c r="H203" s="49">
        <f>150069+15893</f>
        <v>165962</v>
      </c>
      <c r="I203" s="50"/>
      <c r="J203" s="49"/>
      <c r="K203" s="49"/>
      <c r="L203" s="50"/>
      <c r="M203" s="49"/>
      <c r="N203" s="49"/>
      <c r="O203" s="38">
        <f t="shared" si="29"/>
        <v>165962</v>
      </c>
      <c r="Q203" s="94"/>
      <c r="T203" s="94"/>
      <c r="U203" s="94"/>
    </row>
    <row r="204" spans="1:21" s="12" customFormat="1" ht="29.25" customHeight="1">
      <c r="A204" s="71" t="s">
        <v>484</v>
      </c>
      <c r="B204" s="45" t="s">
        <v>485</v>
      </c>
      <c r="C204" s="49"/>
      <c r="D204" s="49"/>
      <c r="E204" s="49"/>
      <c r="F204" s="49">
        <f>3058+29000</f>
        <v>32058</v>
      </c>
      <c r="G204" s="49"/>
      <c r="H204" s="49">
        <f>3058+29000</f>
        <v>32058</v>
      </c>
      <c r="I204" s="50"/>
      <c r="J204" s="49"/>
      <c r="K204" s="49"/>
      <c r="L204" s="50"/>
      <c r="M204" s="49"/>
      <c r="N204" s="49"/>
      <c r="O204" s="38">
        <f>C204+F204+I204+L204</f>
        <v>32058</v>
      </c>
      <c r="Q204" s="94"/>
      <c r="T204" s="94"/>
      <c r="U204" s="94"/>
    </row>
    <row r="205" spans="1:21" s="12" customFormat="1" ht="17.25" customHeight="1">
      <c r="A205" s="71" t="s">
        <v>486</v>
      </c>
      <c r="B205" s="45" t="s">
        <v>546</v>
      </c>
      <c r="C205" s="49"/>
      <c r="D205" s="49"/>
      <c r="E205" s="49"/>
      <c r="F205" s="50">
        <v>16390</v>
      </c>
      <c r="G205" s="49"/>
      <c r="H205" s="49">
        <v>16390</v>
      </c>
      <c r="I205" s="50">
        <f>120879-120879</f>
        <v>0</v>
      </c>
      <c r="J205" s="49">
        <f>119150-119150</f>
        <v>0</v>
      </c>
      <c r="K205" s="49"/>
      <c r="L205" s="50"/>
      <c r="M205" s="49"/>
      <c r="N205" s="49"/>
      <c r="O205" s="38">
        <f t="shared" si="29"/>
        <v>16390</v>
      </c>
      <c r="Q205" s="94"/>
      <c r="T205" s="94"/>
      <c r="U205" s="94"/>
    </row>
    <row r="206" spans="1:21" s="11" customFormat="1" ht="29.25" customHeight="1">
      <c r="A206" s="38" t="s">
        <v>181</v>
      </c>
      <c r="B206" s="64" t="s">
        <v>29</v>
      </c>
      <c r="C206" s="38">
        <f>C207</f>
        <v>186888</v>
      </c>
      <c r="D206" s="38">
        <f aca="true" t="shared" si="40" ref="D206:N206">D207</f>
        <v>0</v>
      </c>
      <c r="E206" s="38">
        <f t="shared" si="40"/>
        <v>24690</v>
      </c>
      <c r="F206" s="38">
        <f t="shared" si="40"/>
        <v>0</v>
      </c>
      <c r="G206" s="38">
        <f t="shared" si="40"/>
        <v>0</v>
      </c>
      <c r="H206" s="38">
        <f t="shared" si="40"/>
        <v>0</v>
      </c>
      <c r="I206" s="38"/>
      <c r="J206" s="38"/>
      <c r="K206" s="38">
        <f t="shared" si="40"/>
        <v>0</v>
      </c>
      <c r="L206" s="38">
        <f t="shared" si="40"/>
        <v>0</v>
      </c>
      <c r="M206" s="38">
        <f t="shared" si="40"/>
        <v>0</v>
      </c>
      <c r="N206" s="38">
        <f t="shared" si="40"/>
        <v>0</v>
      </c>
      <c r="O206" s="38">
        <f t="shared" si="29"/>
        <v>186888</v>
      </c>
      <c r="Q206" s="92"/>
      <c r="T206" s="92"/>
      <c r="U206" s="92"/>
    </row>
    <row r="207" spans="1:21" s="12" customFormat="1" ht="15" customHeight="1">
      <c r="A207" s="52" t="s">
        <v>487</v>
      </c>
      <c r="B207" s="45" t="s">
        <v>48</v>
      </c>
      <c r="C207" s="49">
        <f>SUM(C208:C213)</f>
        <v>186888</v>
      </c>
      <c r="D207" s="49"/>
      <c r="E207" s="49">
        <f>E213</f>
        <v>24690</v>
      </c>
      <c r="F207" s="49">
        <f aca="true" t="shared" si="41" ref="F207:N207">SUM(F208:F213)</f>
        <v>0</v>
      </c>
      <c r="G207" s="49">
        <f t="shared" si="41"/>
        <v>0</v>
      </c>
      <c r="H207" s="49">
        <f t="shared" si="41"/>
        <v>0</v>
      </c>
      <c r="I207" s="49">
        <f t="shared" si="41"/>
        <v>0</v>
      </c>
      <c r="J207" s="49">
        <f t="shared" si="41"/>
        <v>0</v>
      </c>
      <c r="K207" s="49">
        <f t="shared" si="41"/>
        <v>0</v>
      </c>
      <c r="L207" s="49">
        <f t="shared" si="41"/>
        <v>0</v>
      </c>
      <c r="M207" s="49">
        <f t="shared" si="41"/>
        <v>0</v>
      </c>
      <c r="N207" s="49">
        <f t="shared" si="41"/>
        <v>0</v>
      </c>
      <c r="O207" s="38">
        <f t="shared" si="29"/>
        <v>186888</v>
      </c>
      <c r="Q207" s="94"/>
      <c r="T207" s="94"/>
      <c r="U207" s="94"/>
    </row>
    <row r="208" spans="1:21" s="12" customFormat="1" ht="30" customHeight="1">
      <c r="A208" s="71" t="s">
        <v>488</v>
      </c>
      <c r="B208" s="45" t="s">
        <v>249</v>
      </c>
      <c r="C208" s="49">
        <f>111000+6290+8000-4112</f>
        <v>121178</v>
      </c>
      <c r="D208" s="49"/>
      <c r="E208" s="49"/>
      <c r="F208" s="50"/>
      <c r="G208" s="49"/>
      <c r="H208" s="49"/>
      <c r="I208" s="50"/>
      <c r="J208" s="50"/>
      <c r="K208" s="49"/>
      <c r="L208" s="50"/>
      <c r="M208" s="49"/>
      <c r="N208" s="49"/>
      <c r="O208" s="38">
        <f t="shared" si="29"/>
        <v>121178</v>
      </c>
      <c r="Q208" s="94"/>
      <c r="T208" s="94"/>
      <c r="U208" s="94"/>
    </row>
    <row r="209" spans="1:21" s="12" customFormat="1" ht="30" customHeight="1">
      <c r="A209" s="71" t="s">
        <v>489</v>
      </c>
      <c r="B209" s="45" t="s">
        <v>289</v>
      </c>
      <c r="C209" s="49">
        <v>15000</v>
      </c>
      <c r="D209" s="49"/>
      <c r="E209" s="49"/>
      <c r="F209" s="50"/>
      <c r="G209" s="49"/>
      <c r="H209" s="49"/>
      <c r="I209" s="50"/>
      <c r="J209" s="50"/>
      <c r="K209" s="49"/>
      <c r="L209" s="50"/>
      <c r="M209" s="49"/>
      <c r="N209" s="49"/>
      <c r="O209" s="38">
        <f t="shared" si="29"/>
        <v>15000</v>
      </c>
      <c r="Q209" s="94"/>
      <c r="T209" s="94"/>
      <c r="U209" s="94"/>
    </row>
    <row r="210" spans="1:21" s="12" customFormat="1" ht="28.5" customHeight="1">
      <c r="A210" s="71" t="s">
        <v>490</v>
      </c>
      <c r="B210" s="45" t="s">
        <v>212</v>
      </c>
      <c r="C210" s="49">
        <v>5000</v>
      </c>
      <c r="D210" s="49"/>
      <c r="E210" s="49"/>
      <c r="F210" s="50"/>
      <c r="G210" s="49"/>
      <c r="H210" s="49"/>
      <c r="I210" s="50"/>
      <c r="J210" s="50"/>
      <c r="K210" s="49"/>
      <c r="L210" s="50"/>
      <c r="M210" s="49"/>
      <c r="N210" s="49"/>
      <c r="O210" s="38">
        <f t="shared" si="29"/>
        <v>5000</v>
      </c>
      <c r="Q210" s="94"/>
      <c r="T210" s="94"/>
      <c r="U210" s="94"/>
    </row>
    <row r="211" spans="1:21" s="12" customFormat="1" ht="15" customHeight="1">
      <c r="A211" s="71" t="s">
        <v>491</v>
      </c>
      <c r="B211" s="45" t="s">
        <v>211</v>
      </c>
      <c r="C211" s="49">
        <v>5000</v>
      </c>
      <c r="D211" s="49"/>
      <c r="E211" s="49"/>
      <c r="F211" s="50"/>
      <c r="G211" s="49"/>
      <c r="H211" s="49"/>
      <c r="I211" s="50"/>
      <c r="J211" s="50"/>
      <c r="K211" s="49"/>
      <c r="L211" s="50"/>
      <c r="M211" s="49"/>
      <c r="N211" s="49"/>
      <c r="O211" s="38">
        <f>C211+F211+I211+L211</f>
        <v>5000</v>
      </c>
      <c r="Q211" s="94"/>
      <c r="T211" s="94"/>
      <c r="U211" s="94"/>
    </row>
    <row r="212" spans="1:21" s="12" customFormat="1" ht="15" customHeight="1">
      <c r="A212" s="71" t="s">
        <v>492</v>
      </c>
      <c r="B212" s="45" t="s">
        <v>280</v>
      </c>
      <c r="C212" s="49">
        <f>20000-3980</f>
        <v>16020</v>
      </c>
      <c r="D212" s="49"/>
      <c r="E212" s="49"/>
      <c r="F212" s="50"/>
      <c r="G212" s="49"/>
      <c r="H212" s="49"/>
      <c r="I212" s="50"/>
      <c r="J212" s="50"/>
      <c r="K212" s="49"/>
      <c r="L212" s="50"/>
      <c r="M212" s="49"/>
      <c r="N212" s="49"/>
      <c r="O212" s="38">
        <f>C212+F212+I212+L212</f>
        <v>16020</v>
      </c>
      <c r="Q212" s="94"/>
      <c r="T212" s="94"/>
      <c r="U212" s="94"/>
    </row>
    <row r="213" spans="1:21" s="12" customFormat="1" ht="15" customHeight="1">
      <c r="A213" s="71" t="s">
        <v>493</v>
      </c>
      <c r="B213" s="45" t="s">
        <v>201</v>
      </c>
      <c r="C213" s="49">
        <f>35000-2310-8000</f>
        <v>24690</v>
      </c>
      <c r="D213" s="49"/>
      <c r="E213" s="49">
        <f>35000-2310-8000</f>
        <v>24690</v>
      </c>
      <c r="F213" s="50"/>
      <c r="G213" s="49"/>
      <c r="H213" s="49"/>
      <c r="I213" s="50"/>
      <c r="J213" s="50"/>
      <c r="K213" s="49"/>
      <c r="L213" s="50"/>
      <c r="M213" s="49"/>
      <c r="N213" s="49"/>
      <c r="O213" s="38">
        <f>C213+F213+I213+L213</f>
        <v>24690</v>
      </c>
      <c r="Q213" s="94"/>
      <c r="T213" s="94"/>
      <c r="U213" s="94"/>
    </row>
    <row r="214" spans="1:21" s="1" customFormat="1" ht="15" customHeight="1">
      <c r="A214" s="68"/>
      <c r="B214" s="123" t="s">
        <v>294</v>
      </c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Q214" s="20"/>
      <c r="T214" s="20"/>
      <c r="U214" s="20"/>
    </row>
    <row r="215" spans="1:21" s="9" customFormat="1" ht="15" customHeight="1">
      <c r="A215" s="40"/>
      <c r="B215" s="64" t="s">
        <v>39</v>
      </c>
      <c r="C215" s="50">
        <f>C216+C254+C253+C252</f>
        <v>3104375</v>
      </c>
      <c r="D215" s="50">
        <f aca="true" t="shared" si="42" ref="D215:O215">D216+D254+D253+D252</f>
        <v>712650</v>
      </c>
      <c r="E215" s="50">
        <f t="shared" si="42"/>
        <v>74500</v>
      </c>
      <c r="F215" s="50">
        <f t="shared" si="42"/>
        <v>1209192</v>
      </c>
      <c r="G215" s="50">
        <f t="shared" si="42"/>
        <v>183000</v>
      </c>
      <c r="H215" s="50">
        <f t="shared" si="42"/>
        <v>155467</v>
      </c>
      <c r="I215" s="50">
        <f t="shared" si="42"/>
        <v>0</v>
      </c>
      <c r="J215" s="50">
        <f t="shared" si="42"/>
        <v>0</v>
      </c>
      <c r="K215" s="50">
        <f t="shared" si="42"/>
        <v>0</v>
      </c>
      <c r="L215" s="50">
        <f>L216+L254+L253+L252</f>
        <v>135560</v>
      </c>
      <c r="M215" s="50">
        <f t="shared" si="42"/>
        <v>54211</v>
      </c>
      <c r="N215" s="50">
        <f t="shared" si="42"/>
        <v>0</v>
      </c>
      <c r="O215" s="50">
        <f t="shared" si="42"/>
        <v>4449127</v>
      </c>
      <c r="P215" s="92">
        <v>0</v>
      </c>
      <c r="Q215" s="92">
        <f>SUM(O215:P215)</f>
        <v>4449127</v>
      </c>
      <c r="T215" s="92"/>
      <c r="U215" s="92"/>
    </row>
    <row r="216" spans="1:21" s="2" customFormat="1" ht="15" customHeight="1">
      <c r="A216" s="38" t="s">
        <v>182</v>
      </c>
      <c r="B216" s="64" t="s">
        <v>52</v>
      </c>
      <c r="C216" s="38">
        <f aca="true" t="shared" si="43" ref="C216:N216">SUM(C217:C251)</f>
        <v>2728375</v>
      </c>
      <c r="D216" s="38">
        <f t="shared" si="43"/>
        <v>517650</v>
      </c>
      <c r="E216" s="38">
        <f t="shared" si="43"/>
        <v>70800</v>
      </c>
      <c r="F216" s="38">
        <f t="shared" si="43"/>
        <v>1049192</v>
      </c>
      <c r="G216" s="38">
        <f t="shared" si="43"/>
        <v>183000</v>
      </c>
      <c r="H216" s="38">
        <f t="shared" si="43"/>
        <v>155467</v>
      </c>
      <c r="I216" s="38">
        <f t="shared" si="43"/>
        <v>0</v>
      </c>
      <c r="J216" s="38">
        <f t="shared" si="43"/>
        <v>0</v>
      </c>
      <c r="K216" s="38">
        <f t="shared" si="43"/>
        <v>0</v>
      </c>
      <c r="L216" s="38">
        <f t="shared" si="43"/>
        <v>0</v>
      </c>
      <c r="M216" s="38">
        <f t="shared" si="43"/>
        <v>0</v>
      </c>
      <c r="N216" s="38">
        <f t="shared" si="43"/>
        <v>0</v>
      </c>
      <c r="O216" s="38">
        <f>SUM(O217:O251)</f>
        <v>3777567</v>
      </c>
      <c r="Q216" s="88"/>
      <c r="T216" s="88"/>
      <c r="U216" s="88"/>
    </row>
    <row r="217" spans="1:21" s="12" customFormat="1" ht="14.25" customHeight="1">
      <c r="A217" s="77" t="s">
        <v>274</v>
      </c>
      <c r="B217" s="45" t="s">
        <v>16</v>
      </c>
      <c r="C217" s="49">
        <f>1045000+20000</f>
        <v>1065000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38">
        <f aca="true" t="shared" si="44" ref="O217:O255">C217+F217+I217+L217</f>
        <v>1065000</v>
      </c>
      <c r="Q217" s="94"/>
      <c r="T217" s="94"/>
      <c r="U217" s="94"/>
    </row>
    <row r="218" spans="1:21" s="12" customFormat="1" ht="15.75" customHeight="1">
      <c r="A218" s="77" t="s">
        <v>275</v>
      </c>
      <c r="B218" s="45" t="s">
        <v>217</v>
      </c>
      <c r="C218" s="49">
        <f>28500+1000</f>
        <v>29500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38">
        <f>C218+F218+I218+L218</f>
        <v>29500</v>
      </c>
      <c r="Q218" s="94"/>
      <c r="T218" s="94"/>
      <c r="U218" s="94"/>
    </row>
    <row r="219" spans="1:21" s="12" customFormat="1" ht="27.75" customHeight="1">
      <c r="A219" s="77" t="s">
        <v>276</v>
      </c>
      <c r="B219" s="45" t="s">
        <v>45</v>
      </c>
      <c r="C219" s="49">
        <f>270000-10000</f>
        <v>260000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38">
        <f>C219+F219+I219+L219</f>
        <v>260000</v>
      </c>
      <c r="Q219" s="94"/>
      <c r="T219" s="94"/>
      <c r="U219" s="94"/>
    </row>
    <row r="220" spans="1:21" s="12" customFormat="1" ht="14.25" customHeight="1">
      <c r="A220" s="77" t="s">
        <v>277</v>
      </c>
      <c r="B220" s="45" t="s">
        <v>218</v>
      </c>
      <c r="C220" s="49"/>
      <c r="D220" s="49"/>
      <c r="E220" s="49"/>
      <c r="F220" s="49">
        <f>157000-11800</f>
        <v>145200</v>
      </c>
      <c r="G220" s="49"/>
      <c r="H220" s="49"/>
      <c r="I220" s="49"/>
      <c r="J220" s="49"/>
      <c r="K220" s="49"/>
      <c r="L220" s="49"/>
      <c r="M220" s="49"/>
      <c r="N220" s="49"/>
      <c r="O220" s="38">
        <f t="shared" si="44"/>
        <v>145200</v>
      </c>
      <c r="Q220" s="94"/>
      <c r="T220" s="94"/>
      <c r="U220" s="94"/>
    </row>
    <row r="221" spans="1:21" s="12" customFormat="1" ht="27.75" customHeight="1">
      <c r="A221" s="77" t="s">
        <v>278</v>
      </c>
      <c r="B221" s="45" t="s">
        <v>214</v>
      </c>
      <c r="C221" s="49"/>
      <c r="D221" s="49"/>
      <c r="E221" s="49"/>
      <c r="F221" s="49">
        <v>200</v>
      </c>
      <c r="G221" s="49"/>
      <c r="H221" s="49"/>
      <c r="I221" s="49"/>
      <c r="J221" s="49"/>
      <c r="K221" s="49"/>
      <c r="L221" s="49"/>
      <c r="M221" s="49"/>
      <c r="N221" s="49"/>
      <c r="O221" s="38">
        <f t="shared" si="44"/>
        <v>200</v>
      </c>
      <c r="Q221" s="94"/>
      <c r="T221" s="94"/>
      <c r="U221" s="94"/>
    </row>
    <row r="222" spans="1:21" s="12" customFormat="1" ht="15" customHeight="1">
      <c r="A222" s="77" t="s">
        <v>395</v>
      </c>
      <c r="B222" s="45" t="s">
        <v>215</v>
      </c>
      <c r="C222" s="49"/>
      <c r="D222" s="49"/>
      <c r="E222" s="49"/>
      <c r="F222" s="49">
        <v>63000</v>
      </c>
      <c r="G222" s="49"/>
      <c r="H222" s="49"/>
      <c r="I222" s="49"/>
      <c r="J222" s="49"/>
      <c r="K222" s="49"/>
      <c r="L222" s="49"/>
      <c r="M222" s="49"/>
      <c r="N222" s="49"/>
      <c r="O222" s="38">
        <f t="shared" si="44"/>
        <v>63000</v>
      </c>
      <c r="Q222" s="94"/>
      <c r="T222" s="94"/>
      <c r="U222" s="94"/>
    </row>
    <row r="223" spans="1:21" s="12" customFormat="1" ht="15" customHeight="1">
      <c r="A223" s="77" t="s">
        <v>494</v>
      </c>
      <c r="B223" s="45" t="s">
        <v>46</v>
      </c>
      <c r="C223" s="49"/>
      <c r="D223" s="49"/>
      <c r="E223" s="49"/>
      <c r="F223" s="49">
        <f>247700-35000</f>
        <v>212700</v>
      </c>
      <c r="G223" s="49"/>
      <c r="H223" s="49"/>
      <c r="I223" s="49"/>
      <c r="J223" s="49"/>
      <c r="K223" s="49"/>
      <c r="L223" s="49"/>
      <c r="M223" s="49"/>
      <c r="N223" s="49"/>
      <c r="O223" s="38">
        <f t="shared" si="44"/>
        <v>212700</v>
      </c>
      <c r="Q223" s="94"/>
      <c r="T223" s="94"/>
      <c r="U223" s="94"/>
    </row>
    <row r="224" spans="1:21" s="12" customFormat="1" ht="15" customHeight="1">
      <c r="A224" s="77" t="s">
        <v>495</v>
      </c>
      <c r="B224" s="45" t="s">
        <v>216</v>
      </c>
      <c r="C224" s="49">
        <f>120000-15000</f>
        <v>105000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38">
        <f>C224+F224+I224+L224</f>
        <v>105000</v>
      </c>
      <c r="Q224" s="94"/>
      <c r="T224" s="94"/>
      <c r="U224" s="94"/>
    </row>
    <row r="225" spans="1:21" s="12" customFormat="1" ht="29.25" customHeight="1">
      <c r="A225" s="77" t="s">
        <v>496</v>
      </c>
      <c r="B225" s="45" t="s">
        <v>255</v>
      </c>
      <c r="C225" s="49"/>
      <c r="D225" s="49"/>
      <c r="E225" s="49"/>
      <c r="F225" s="49">
        <f>204300+11000+11700</f>
        <v>227000</v>
      </c>
      <c r="G225" s="49"/>
      <c r="H225" s="49"/>
      <c r="I225" s="49"/>
      <c r="J225" s="49"/>
      <c r="K225" s="49"/>
      <c r="L225" s="49"/>
      <c r="M225" s="49"/>
      <c r="N225" s="49"/>
      <c r="O225" s="38">
        <f>C225+F225+I225+L225</f>
        <v>227000</v>
      </c>
      <c r="Q225" s="94"/>
      <c r="T225" s="94"/>
      <c r="U225" s="94"/>
    </row>
    <row r="226" spans="1:21" s="10" customFormat="1" ht="29.25" customHeight="1">
      <c r="A226" s="78" t="s">
        <v>497</v>
      </c>
      <c r="B226" s="79" t="s">
        <v>498</v>
      </c>
      <c r="C226" s="40"/>
      <c r="D226" s="40"/>
      <c r="E226" s="40"/>
      <c r="F226" s="40">
        <f>196800-11000</f>
        <v>185800</v>
      </c>
      <c r="G226" s="40">
        <f>194000-11000</f>
        <v>183000</v>
      </c>
      <c r="H226" s="40"/>
      <c r="I226" s="40"/>
      <c r="J226" s="40"/>
      <c r="K226" s="40"/>
      <c r="L226" s="40"/>
      <c r="M226" s="40"/>
      <c r="N226" s="40"/>
      <c r="O226" s="38">
        <f>C226+F226+I226+L226</f>
        <v>185800</v>
      </c>
      <c r="Q226" s="57"/>
      <c r="T226" s="57"/>
      <c r="U226" s="57"/>
    </row>
    <row r="227" spans="1:21" s="12" customFormat="1" ht="28.5" customHeight="1">
      <c r="A227" s="78" t="s">
        <v>499</v>
      </c>
      <c r="B227" s="79" t="s">
        <v>500</v>
      </c>
      <c r="C227" s="40"/>
      <c r="D227" s="40"/>
      <c r="E227" s="40"/>
      <c r="F227" s="40"/>
      <c r="G227" s="40"/>
      <c r="H227" s="40"/>
      <c r="I227" s="50"/>
      <c r="J227" s="50"/>
      <c r="K227" s="49"/>
      <c r="L227" s="50"/>
      <c r="M227" s="49"/>
      <c r="N227" s="49"/>
      <c r="O227" s="38">
        <f t="shared" si="44"/>
        <v>0</v>
      </c>
      <c r="Q227" s="94"/>
      <c r="T227" s="94"/>
      <c r="U227" s="94"/>
    </row>
    <row r="228" spans="1:21" s="12" customFormat="1" ht="29.25" customHeight="1">
      <c r="A228" s="78" t="s">
        <v>501</v>
      </c>
      <c r="B228" s="45" t="s">
        <v>105</v>
      </c>
      <c r="C228" s="49">
        <f>399300-40000</f>
        <v>359300</v>
      </c>
      <c r="D228" s="49"/>
      <c r="E228" s="49"/>
      <c r="F228" s="49"/>
      <c r="G228" s="49"/>
      <c r="H228" s="49"/>
      <c r="I228" s="49"/>
      <c r="J228" s="49"/>
      <c r="K228" s="49"/>
      <c r="L228" s="50"/>
      <c r="M228" s="49"/>
      <c r="N228" s="49"/>
      <c r="O228" s="38">
        <f t="shared" si="44"/>
        <v>359300</v>
      </c>
      <c r="Q228" s="94"/>
      <c r="T228" s="94"/>
      <c r="U228" s="94"/>
    </row>
    <row r="229" spans="1:21" s="6" customFormat="1" ht="28.5" customHeight="1">
      <c r="A229" s="78" t="s">
        <v>502</v>
      </c>
      <c r="B229" s="45" t="s">
        <v>503</v>
      </c>
      <c r="C229" s="49">
        <v>4100</v>
      </c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38">
        <f t="shared" si="44"/>
        <v>4100</v>
      </c>
      <c r="P229" s="9"/>
      <c r="Q229" s="91"/>
      <c r="T229" s="91"/>
      <c r="U229" s="91"/>
    </row>
    <row r="230" spans="1:21" s="6" customFormat="1" ht="28.5" customHeight="1">
      <c r="A230" s="78" t="s">
        <v>504</v>
      </c>
      <c r="B230" s="45" t="s">
        <v>254</v>
      </c>
      <c r="C230" s="40">
        <v>3675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38">
        <f t="shared" si="44"/>
        <v>3675</v>
      </c>
      <c r="P230" s="9"/>
      <c r="Q230" s="91"/>
      <c r="T230" s="91"/>
      <c r="U230" s="91"/>
    </row>
    <row r="231" spans="1:21" s="6" customFormat="1" ht="15" customHeight="1">
      <c r="A231" s="78" t="s">
        <v>505</v>
      </c>
      <c r="B231" s="45" t="s">
        <v>282</v>
      </c>
      <c r="C231" s="40">
        <v>3000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38">
        <f t="shared" si="44"/>
        <v>3000</v>
      </c>
      <c r="P231" s="9"/>
      <c r="Q231" s="91"/>
      <c r="T231" s="91"/>
      <c r="U231" s="91"/>
    </row>
    <row r="232" spans="1:21" s="6" customFormat="1" ht="15" customHeight="1">
      <c r="A232" s="78" t="s">
        <v>506</v>
      </c>
      <c r="B232" s="45" t="s">
        <v>283</v>
      </c>
      <c r="C232" s="40">
        <f>75000-800</f>
        <v>74200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38">
        <f t="shared" si="44"/>
        <v>74200</v>
      </c>
      <c r="P232" s="9"/>
      <c r="Q232" s="91"/>
      <c r="T232" s="91"/>
      <c r="U232" s="91"/>
    </row>
    <row r="233" spans="1:21" s="12" customFormat="1" ht="45" customHeight="1">
      <c r="A233" s="78" t="s">
        <v>507</v>
      </c>
      <c r="B233" s="45" t="s">
        <v>250</v>
      </c>
      <c r="C233" s="40">
        <f>13000+1500</f>
        <v>14500</v>
      </c>
      <c r="D233" s="49"/>
      <c r="E233" s="49"/>
      <c r="F233" s="50"/>
      <c r="G233" s="49"/>
      <c r="H233" s="49"/>
      <c r="I233" s="50"/>
      <c r="J233" s="50"/>
      <c r="K233" s="49"/>
      <c r="L233" s="50"/>
      <c r="M233" s="49"/>
      <c r="N233" s="49"/>
      <c r="O233" s="38">
        <f t="shared" si="44"/>
        <v>14500</v>
      </c>
      <c r="Q233" s="94"/>
      <c r="T233" s="94"/>
      <c r="U233" s="94"/>
    </row>
    <row r="234" spans="1:21" s="12" customFormat="1" ht="15" customHeight="1">
      <c r="A234" s="78" t="s">
        <v>508</v>
      </c>
      <c r="B234" s="45" t="s">
        <v>252</v>
      </c>
      <c r="C234" s="49">
        <v>1000</v>
      </c>
      <c r="D234" s="49"/>
      <c r="E234" s="49"/>
      <c r="F234" s="50"/>
      <c r="G234" s="49"/>
      <c r="H234" s="49"/>
      <c r="I234" s="50"/>
      <c r="J234" s="50"/>
      <c r="K234" s="49"/>
      <c r="L234" s="50"/>
      <c r="M234" s="49"/>
      <c r="N234" s="49"/>
      <c r="O234" s="38">
        <f t="shared" si="44"/>
        <v>1000</v>
      </c>
      <c r="Q234" s="94"/>
      <c r="T234" s="94"/>
      <c r="U234" s="94"/>
    </row>
    <row r="235" spans="1:21" s="12" customFormat="1" ht="15" customHeight="1">
      <c r="A235" s="78" t="s">
        <v>509</v>
      </c>
      <c r="B235" s="45" t="s">
        <v>284</v>
      </c>
      <c r="C235" s="49">
        <f>19000-8000</f>
        <v>11000</v>
      </c>
      <c r="D235" s="49"/>
      <c r="E235" s="49"/>
      <c r="F235" s="50"/>
      <c r="G235" s="49"/>
      <c r="H235" s="49"/>
      <c r="I235" s="50"/>
      <c r="J235" s="50"/>
      <c r="K235" s="49"/>
      <c r="L235" s="50"/>
      <c r="M235" s="49"/>
      <c r="N235" s="49"/>
      <c r="O235" s="38">
        <f t="shared" si="44"/>
        <v>11000</v>
      </c>
      <c r="Q235" s="94"/>
      <c r="T235" s="94"/>
      <c r="U235" s="94"/>
    </row>
    <row r="236" spans="1:21" s="6" customFormat="1" ht="29.25" customHeight="1">
      <c r="A236" s="78" t="s">
        <v>510</v>
      </c>
      <c r="B236" s="45" t="s">
        <v>257</v>
      </c>
      <c r="C236" s="49">
        <v>9000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8">
        <f t="shared" si="44"/>
        <v>9000</v>
      </c>
      <c r="Q236" s="91"/>
      <c r="T236" s="91"/>
      <c r="U236" s="91"/>
    </row>
    <row r="237" spans="1:21" s="12" customFormat="1" ht="29.25" customHeight="1">
      <c r="A237" s="78" t="s">
        <v>511</v>
      </c>
      <c r="B237" s="67" t="s">
        <v>47</v>
      </c>
      <c r="C237" s="40">
        <f>82000-12000</f>
        <v>70000</v>
      </c>
      <c r="D237" s="49"/>
      <c r="E237" s="49"/>
      <c r="F237" s="50"/>
      <c r="G237" s="49"/>
      <c r="H237" s="49"/>
      <c r="I237" s="50"/>
      <c r="J237" s="50"/>
      <c r="K237" s="49"/>
      <c r="L237" s="50"/>
      <c r="M237" s="49"/>
      <c r="N237" s="49"/>
      <c r="O237" s="38">
        <f t="shared" si="44"/>
        <v>70000</v>
      </c>
      <c r="Q237" s="94"/>
      <c r="T237" s="94"/>
      <c r="U237" s="94"/>
    </row>
    <row r="238" spans="1:21" s="12" customFormat="1" ht="15" customHeight="1">
      <c r="A238" s="78" t="s">
        <v>512</v>
      </c>
      <c r="B238" s="45" t="s">
        <v>198</v>
      </c>
      <c r="C238" s="80">
        <v>10000</v>
      </c>
      <c r="D238" s="49"/>
      <c r="E238" s="49"/>
      <c r="F238" s="50"/>
      <c r="G238" s="49"/>
      <c r="H238" s="49"/>
      <c r="I238" s="50"/>
      <c r="J238" s="50"/>
      <c r="K238" s="49"/>
      <c r="L238" s="50"/>
      <c r="M238" s="49"/>
      <c r="N238" s="49"/>
      <c r="O238" s="38">
        <f t="shared" si="44"/>
        <v>10000</v>
      </c>
      <c r="Q238" s="94"/>
      <c r="T238" s="94"/>
      <c r="U238" s="94"/>
    </row>
    <row r="239" spans="1:21" s="12" customFormat="1" ht="29.25" customHeight="1">
      <c r="A239" s="78" t="s">
        <v>513</v>
      </c>
      <c r="B239" s="45" t="s">
        <v>396</v>
      </c>
      <c r="C239" s="49">
        <v>64400</v>
      </c>
      <c r="D239" s="49"/>
      <c r="E239" s="49">
        <v>64400</v>
      </c>
      <c r="F239" s="50"/>
      <c r="G239" s="49"/>
      <c r="H239" s="49"/>
      <c r="I239" s="50"/>
      <c r="J239" s="50"/>
      <c r="K239" s="49"/>
      <c r="L239" s="50"/>
      <c r="M239" s="49"/>
      <c r="N239" s="49"/>
      <c r="O239" s="38">
        <f t="shared" si="44"/>
        <v>64400</v>
      </c>
      <c r="Q239" s="94"/>
      <c r="T239" s="94"/>
      <c r="U239" s="94"/>
    </row>
    <row r="240" spans="1:21" s="12" customFormat="1" ht="15" customHeight="1">
      <c r="A240" s="78" t="s">
        <v>514</v>
      </c>
      <c r="B240" s="45" t="s">
        <v>397</v>
      </c>
      <c r="C240" s="49">
        <f>48000+800</f>
        <v>48800</v>
      </c>
      <c r="D240" s="49"/>
      <c r="E240" s="49"/>
      <c r="F240" s="50"/>
      <c r="G240" s="49"/>
      <c r="H240" s="49"/>
      <c r="I240" s="50"/>
      <c r="J240" s="50"/>
      <c r="K240" s="49"/>
      <c r="L240" s="50"/>
      <c r="M240" s="49"/>
      <c r="N240" s="49"/>
      <c r="O240" s="38">
        <f t="shared" si="44"/>
        <v>48800</v>
      </c>
      <c r="Q240" s="94"/>
      <c r="T240" s="94"/>
      <c r="U240" s="94"/>
    </row>
    <row r="241" spans="1:21" s="12" customFormat="1" ht="30" customHeight="1">
      <c r="A241" s="78" t="s">
        <v>515</v>
      </c>
      <c r="B241" s="45" t="s">
        <v>516</v>
      </c>
      <c r="C241" s="49">
        <v>83700</v>
      </c>
      <c r="D241" s="49">
        <v>82500</v>
      </c>
      <c r="E241" s="49"/>
      <c r="F241" s="50"/>
      <c r="G241" s="49"/>
      <c r="H241" s="49"/>
      <c r="I241" s="50"/>
      <c r="J241" s="50"/>
      <c r="K241" s="49"/>
      <c r="L241" s="50"/>
      <c r="M241" s="49"/>
      <c r="N241" s="49"/>
      <c r="O241" s="38">
        <f t="shared" si="44"/>
        <v>83700</v>
      </c>
      <c r="Q241" s="94"/>
      <c r="T241" s="94"/>
      <c r="U241" s="94"/>
    </row>
    <row r="242" spans="1:21" s="12" customFormat="1" ht="29.25" customHeight="1">
      <c r="A242" s="78" t="s">
        <v>517</v>
      </c>
      <c r="B242" s="128" t="s">
        <v>518</v>
      </c>
      <c r="C242" s="49">
        <f>76900+6400</f>
        <v>83300</v>
      </c>
      <c r="D242" s="49">
        <v>75800</v>
      </c>
      <c r="E242" s="49">
        <v>6400</v>
      </c>
      <c r="F242" s="50"/>
      <c r="G242" s="49"/>
      <c r="H242" s="49"/>
      <c r="I242" s="50"/>
      <c r="J242" s="50"/>
      <c r="K242" s="49"/>
      <c r="L242" s="50"/>
      <c r="M242" s="49"/>
      <c r="N242" s="49"/>
      <c r="O242" s="38">
        <f t="shared" si="44"/>
        <v>83300</v>
      </c>
      <c r="Q242" s="94"/>
      <c r="T242" s="94"/>
      <c r="U242" s="94"/>
    </row>
    <row r="243" spans="1:21" s="12" customFormat="1" ht="29.25" customHeight="1">
      <c r="A243" s="78" t="s">
        <v>519</v>
      </c>
      <c r="B243" s="45" t="s">
        <v>253</v>
      </c>
      <c r="C243" s="49">
        <f>144000+2600</f>
        <v>146600</v>
      </c>
      <c r="D243" s="49">
        <v>142000</v>
      </c>
      <c r="E243" s="49"/>
      <c r="F243" s="50"/>
      <c r="G243" s="49"/>
      <c r="H243" s="49"/>
      <c r="I243" s="50"/>
      <c r="J243" s="50"/>
      <c r="K243" s="49"/>
      <c r="L243" s="50"/>
      <c r="M243" s="49"/>
      <c r="N243" s="49"/>
      <c r="O243" s="38">
        <f t="shared" si="44"/>
        <v>146600</v>
      </c>
      <c r="Q243" s="94"/>
      <c r="T243" s="94"/>
      <c r="U243" s="94"/>
    </row>
    <row r="244" spans="1:21" s="12" customFormat="1" ht="43.5" customHeight="1">
      <c r="A244" s="78" t="s">
        <v>520</v>
      </c>
      <c r="B244" s="45" t="s">
        <v>251</v>
      </c>
      <c r="C244" s="49">
        <v>44400</v>
      </c>
      <c r="D244" s="49">
        <v>40600</v>
      </c>
      <c r="E244" s="49"/>
      <c r="F244" s="50"/>
      <c r="G244" s="49"/>
      <c r="H244" s="49"/>
      <c r="I244" s="50"/>
      <c r="J244" s="50"/>
      <c r="K244" s="49"/>
      <c r="L244" s="50"/>
      <c r="M244" s="49"/>
      <c r="N244" s="49"/>
      <c r="O244" s="38">
        <f t="shared" si="44"/>
        <v>44400</v>
      </c>
      <c r="Q244" s="94"/>
      <c r="T244" s="94"/>
      <c r="U244" s="94"/>
    </row>
    <row r="245" spans="1:21" s="12" customFormat="1" ht="44.25" customHeight="1">
      <c r="A245" s="78" t="s">
        <v>521</v>
      </c>
      <c r="B245" s="45" t="s">
        <v>299</v>
      </c>
      <c r="C245" s="49">
        <f>160700+12000</f>
        <v>172700</v>
      </c>
      <c r="D245" s="49">
        <v>146400</v>
      </c>
      <c r="E245" s="49"/>
      <c r="F245" s="50"/>
      <c r="G245" s="49"/>
      <c r="H245" s="49"/>
      <c r="I245" s="50"/>
      <c r="J245" s="50"/>
      <c r="K245" s="49"/>
      <c r="L245" s="50"/>
      <c r="M245" s="49"/>
      <c r="N245" s="49"/>
      <c r="O245" s="38">
        <f t="shared" si="44"/>
        <v>172700</v>
      </c>
      <c r="Q245" s="94"/>
      <c r="T245" s="94"/>
      <c r="U245" s="94"/>
    </row>
    <row r="246" spans="1:21" s="12" customFormat="1" ht="45.75" customHeight="1">
      <c r="A246" s="78" t="s">
        <v>522</v>
      </c>
      <c r="B246" s="45" t="s">
        <v>262</v>
      </c>
      <c r="C246" s="49">
        <v>33200</v>
      </c>
      <c r="D246" s="49">
        <v>30350</v>
      </c>
      <c r="E246" s="49"/>
      <c r="F246" s="50"/>
      <c r="G246" s="49"/>
      <c r="H246" s="49"/>
      <c r="I246" s="50"/>
      <c r="J246" s="50"/>
      <c r="K246" s="49"/>
      <c r="L246" s="50"/>
      <c r="M246" s="49"/>
      <c r="N246" s="49"/>
      <c r="O246" s="38">
        <f t="shared" si="44"/>
        <v>33200</v>
      </c>
      <c r="Q246" s="94"/>
      <c r="T246" s="94"/>
      <c r="U246" s="94"/>
    </row>
    <row r="247" spans="1:21" s="12" customFormat="1" ht="31.5" customHeight="1">
      <c r="A247" s="78" t="s">
        <v>523</v>
      </c>
      <c r="B247" s="45" t="s">
        <v>256</v>
      </c>
      <c r="C247" s="49">
        <v>7000</v>
      </c>
      <c r="D247" s="49"/>
      <c r="E247" s="49"/>
      <c r="F247" s="50"/>
      <c r="G247" s="49"/>
      <c r="H247" s="49"/>
      <c r="I247" s="50"/>
      <c r="J247" s="50"/>
      <c r="K247" s="49"/>
      <c r="L247" s="50"/>
      <c r="M247" s="49"/>
      <c r="N247" s="49"/>
      <c r="O247" s="38">
        <f t="shared" si="44"/>
        <v>7000</v>
      </c>
      <c r="Q247" s="94"/>
      <c r="T247" s="94"/>
      <c r="U247" s="94"/>
    </row>
    <row r="248" spans="1:21" s="12" customFormat="1" ht="42.75" customHeight="1">
      <c r="A248" s="78" t="s">
        <v>524</v>
      </c>
      <c r="B248" s="45" t="s">
        <v>525</v>
      </c>
      <c r="C248" s="49">
        <v>25000</v>
      </c>
      <c r="D248" s="49"/>
      <c r="E248" s="49"/>
      <c r="F248" s="50"/>
      <c r="G248" s="49"/>
      <c r="H248" s="49"/>
      <c r="I248" s="50"/>
      <c r="J248" s="50"/>
      <c r="K248" s="49"/>
      <c r="L248" s="50"/>
      <c r="M248" s="49"/>
      <c r="N248" s="49"/>
      <c r="O248" s="38">
        <f t="shared" si="44"/>
        <v>25000</v>
      </c>
      <c r="Q248" s="94"/>
      <c r="T248" s="94"/>
      <c r="U248" s="94"/>
    </row>
    <row r="249" spans="1:21" s="12" customFormat="1" ht="42.75" customHeight="1">
      <c r="A249" s="78" t="s">
        <v>526</v>
      </c>
      <c r="B249" s="45" t="s">
        <v>527</v>
      </c>
      <c r="C249" s="49"/>
      <c r="D249" s="49"/>
      <c r="E249" s="49"/>
      <c r="F249" s="49">
        <f>56987+22976</f>
        <v>79963</v>
      </c>
      <c r="G249" s="49"/>
      <c r="H249" s="49">
        <f>56987+22976</f>
        <v>79963</v>
      </c>
      <c r="I249" s="50"/>
      <c r="J249" s="50"/>
      <c r="K249" s="49"/>
      <c r="L249" s="50"/>
      <c r="M249" s="49"/>
      <c r="N249" s="49"/>
      <c r="O249" s="38">
        <f t="shared" si="44"/>
        <v>79963</v>
      </c>
      <c r="Q249" s="94"/>
      <c r="T249" s="94"/>
      <c r="U249" s="94"/>
    </row>
    <row r="250" spans="1:21" s="12" customFormat="1" ht="28.5" customHeight="1">
      <c r="A250" s="78" t="s">
        <v>528</v>
      </c>
      <c r="B250" s="45" t="s">
        <v>529</v>
      </c>
      <c r="C250" s="49"/>
      <c r="D250" s="49"/>
      <c r="E250" s="49"/>
      <c r="F250" s="49">
        <f>47394+12431</f>
        <v>59825</v>
      </c>
      <c r="G250" s="49"/>
      <c r="H250" s="49"/>
      <c r="I250" s="50"/>
      <c r="J250" s="50"/>
      <c r="K250" s="49"/>
      <c r="L250" s="50"/>
      <c r="M250" s="49"/>
      <c r="N250" s="49"/>
      <c r="O250" s="38">
        <f t="shared" si="44"/>
        <v>59825</v>
      </c>
      <c r="Q250" s="94"/>
      <c r="T250" s="94"/>
      <c r="U250" s="94"/>
    </row>
    <row r="251" spans="1:21" s="12" customFormat="1" ht="29.25" customHeight="1">
      <c r="A251" s="78" t="s">
        <v>530</v>
      </c>
      <c r="B251" s="45" t="s">
        <v>398</v>
      </c>
      <c r="C251" s="49"/>
      <c r="D251" s="49"/>
      <c r="E251" s="49"/>
      <c r="F251" s="49">
        <f>49626+25878</f>
        <v>75504</v>
      </c>
      <c r="G251" s="49"/>
      <c r="H251" s="49">
        <f>49626+25878</f>
        <v>75504</v>
      </c>
      <c r="I251" s="50"/>
      <c r="J251" s="50"/>
      <c r="K251" s="49"/>
      <c r="L251" s="50"/>
      <c r="M251" s="49"/>
      <c r="N251" s="49"/>
      <c r="O251" s="38">
        <f t="shared" si="44"/>
        <v>75504</v>
      </c>
      <c r="Q251" s="94"/>
      <c r="T251" s="94"/>
      <c r="U251" s="94"/>
    </row>
    <row r="252" spans="1:21" s="6" customFormat="1" ht="16.5" customHeight="1">
      <c r="A252" s="38" t="s">
        <v>183</v>
      </c>
      <c r="B252" s="64" t="s">
        <v>15</v>
      </c>
      <c r="C252" s="38">
        <f>165300+3700+5000</f>
        <v>174000</v>
      </c>
      <c r="D252" s="38">
        <f>163000+5000</f>
        <v>168000</v>
      </c>
      <c r="E252" s="38">
        <v>3700</v>
      </c>
      <c r="F252" s="38"/>
      <c r="G252" s="38"/>
      <c r="H252" s="38"/>
      <c r="I252" s="38"/>
      <c r="J252" s="38"/>
      <c r="K252" s="38"/>
      <c r="L252" s="38">
        <f>60+132000</f>
        <v>132060</v>
      </c>
      <c r="M252" s="38">
        <f>47000+7211</f>
        <v>54211</v>
      </c>
      <c r="N252" s="38"/>
      <c r="O252" s="38">
        <f t="shared" si="44"/>
        <v>306060</v>
      </c>
      <c r="Q252" s="91"/>
      <c r="T252" s="91"/>
      <c r="U252" s="91"/>
    </row>
    <row r="253" spans="1:21" s="6" customFormat="1" ht="16.5" customHeight="1">
      <c r="A253" s="38" t="s">
        <v>184</v>
      </c>
      <c r="B253" s="64" t="s">
        <v>531</v>
      </c>
      <c r="C253" s="38">
        <f>177000+10000</f>
        <v>187000</v>
      </c>
      <c r="D253" s="38">
        <v>27000</v>
      </c>
      <c r="E253" s="38"/>
      <c r="F253" s="38">
        <v>11000</v>
      </c>
      <c r="G253" s="38"/>
      <c r="H253" s="38"/>
      <c r="I253" s="38"/>
      <c r="J253" s="38"/>
      <c r="K253" s="38"/>
      <c r="L253" s="38">
        <f>1000+2500</f>
        <v>3500</v>
      </c>
      <c r="M253" s="38"/>
      <c r="N253" s="38"/>
      <c r="O253" s="38">
        <f t="shared" si="44"/>
        <v>201500</v>
      </c>
      <c r="Q253" s="91"/>
      <c r="T253" s="91"/>
      <c r="U253" s="91"/>
    </row>
    <row r="254" spans="1:21" s="12" customFormat="1" ht="31.5" customHeight="1">
      <c r="A254" s="38" t="s">
        <v>229</v>
      </c>
      <c r="B254" s="64" t="s">
        <v>29</v>
      </c>
      <c r="C254" s="50">
        <f>SUM(C255)</f>
        <v>15000</v>
      </c>
      <c r="D254" s="49"/>
      <c r="E254" s="49"/>
      <c r="F254" s="50">
        <f>SUM(F255)</f>
        <v>149000</v>
      </c>
      <c r="G254" s="49"/>
      <c r="H254" s="49"/>
      <c r="I254" s="50"/>
      <c r="J254" s="50"/>
      <c r="K254" s="49"/>
      <c r="L254" s="50"/>
      <c r="M254" s="49"/>
      <c r="N254" s="49"/>
      <c r="O254" s="38">
        <f t="shared" si="44"/>
        <v>164000</v>
      </c>
      <c r="Q254" s="94"/>
      <c r="T254" s="94"/>
      <c r="U254" s="94"/>
    </row>
    <row r="255" spans="1:21" s="13" customFormat="1" ht="16.5" customHeight="1">
      <c r="A255" s="66" t="s">
        <v>532</v>
      </c>
      <c r="B255" s="67" t="s">
        <v>399</v>
      </c>
      <c r="C255" s="49">
        <v>15000</v>
      </c>
      <c r="D255" s="67"/>
      <c r="E255" s="49"/>
      <c r="F255" s="49">
        <v>149000</v>
      </c>
      <c r="G255" s="49"/>
      <c r="H255" s="49"/>
      <c r="I255" s="67"/>
      <c r="J255" s="67"/>
      <c r="K255" s="67"/>
      <c r="L255" s="67"/>
      <c r="M255" s="67"/>
      <c r="N255" s="67"/>
      <c r="O255" s="38">
        <f t="shared" si="44"/>
        <v>164000</v>
      </c>
      <c r="Q255" s="61"/>
      <c r="T255" s="61"/>
      <c r="U255" s="61"/>
    </row>
    <row r="256" spans="1:21" s="9" customFormat="1" ht="15.75" customHeight="1">
      <c r="A256" s="81"/>
      <c r="B256" s="55" t="s">
        <v>31</v>
      </c>
      <c r="C256" s="56">
        <f aca="true" t="shared" si="45" ref="C256:Q256">C15+C49+C56+C66+C107+C130+C160+C215</f>
        <v>16525858</v>
      </c>
      <c r="D256" s="56">
        <f t="shared" si="45"/>
        <v>8773447</v>
      </c>
      <c r="E256" s="56">
        <f t="shared" si="45"/>
        <v>1005566</v>
      </c>
      <c r="F256" s="56">
        <f t="shared" si="45"/>
        <v>5402425</v>
      </c>
      <c r="G256" s="56">
        <f t="shared" si="45"/>
        <v>1080849</v>
      </c>
      <c r="H256" s="56">
        <f t="shared" si="45"/>
        <v>2795895</v>
      </c>
      <c r="I256" s="56">
        <f t="shared" si="45"/>
        <v>7666600</v>
      </c>
      <c r="J256" s="56">
        <f t="shared" si="45"/>
        <v>5917059</v>
      </c>
      <c r="K256" s="56">
        <f t="shared" si="45"/>
        <v>1126109</v>
      </c>
      <c r="L256" s="56">
        <f t="shared" si="45"/>
        <v>1511567</v>
      </c>
      <c r="M256" s="56">
        <f t="shared" si="45"/>
        <v>77211</v>
      </c>
      <c r="N256" s="56">
        <f t="shared" si="45"/>
        <v>13372</v>
      </c>
      <c r="O256" s="56">
        <f t="shared" si="45"/>
        <v>31106450</v>
      </c>
      <c r="P256" s="56">
        <f t="shared" si="45"/>
        <v>1486200</v>
      </c>
      <c r="Q256" s="56">
        <f t="shared" si="45"/>
        <v>32592650</v>
      </c>
      <c r="T256" s="92"/>
      <c r="U256" s="92"/>
    </row>
    <row r="257" spans="1:21" s="12" customFormat="1" ht="31.5" customHeight="1">
      <c r="A257" s="38" t="s">
        <v>185</v>
      </c>
      <c r="B257" s="64" t="s">
        <v>29</v>
      </c>
      <c r="C257" s="50">
        <f>SUM(C258)</f>
        <v>746200</v>
      </c>
      <c r="D257" s="49"/>
      <c r="E257" s="49"/>
      <c r="F257" s="50">
        <f>SUM(F258)</f>
        <v>0</v>
      </c>
      <c r="G257" s="49"/>
      <c r="H257" s="49"/>
      <c r="I257" s="50"/>
      <c r="J257" s="50"/>
      <c r="K257" s="49"/>
      <c r="L257" s="50"/>
      <c r="M257" s="49"/>
      <c r="N257" s="49"/>
      <c r="O257" s="38">
        <f>C257+F257+I257+L257</f>
        <v>746200</v>
      </c>
      <c r="Q257" s="94"/>
      <c r="T257" s="94"/>
      <c r="U257" s="94"/>
    </row>
    <row r="258" spans="1:21" s="9" customFormat="1" ht="18" customHeight="1">
      <c r="A258" s="82" t="s">
        <v>281</v>
      </c>
      <c r="B258" s="67" t="s">
        <v>285</v>
      </c>
      <c r="C258" s="40">
        <f>746200</f>
        <v>746200</v>
      </c>
      <c r="D258" s="42"/>
      <c r="E258" s="40"/>
      <c r="F258" s="42"/>
      <c r="G258" s="42"/>
      <c r="H258" s="42"/>
      <c r="I258" s="42"/>
      <c r="J258" s="42"/>
      <c r="K258" s="42"/>
      <c r="L258" s="42"/>
      <c r="M258" s="42"/>
      <c r="N258" s="42"/>
      <c r="O258" s="38">
        <f>C258+F258+I258+L258</f>
        <v>746200</v>
      </c>
      <c r="Q258" s="61"/>
      <c r="T258" s="61"/>
      <c r="U258" s="61"/>
    </row>
    <row r="259" spans="1:21" s="9" customFormat="1" ht="15" customHeight="1">
      <c r="A259" s="61"/>
      <c r="B259" s="43"/>
      <c r="C259" s="11"/>
      <c r="F259" s="11"/>
      <c r="I259" s="11"/>
      <c r="J259" s="11"/>
      <c r="L259" s="11"/>
      <c r="Q259" s="61"/>
      <c r="T259" s="61"/>
      <c r="U259" s="61"/>
    </row>
    <row r="260" spans="1:21" s="9" customFormat="1" ht="15" customHeight="1">
      <c r="A260" s="61"/>
      <c r="B260" s="43"/>
      <c r="C260" s="11"/>
      <c r="F260" s="11"/>
      <c r="I260" s="11"/>
      <c r="J260" s="11"/>
      <c r="L260" s="11"/>
      <c r="Q260" s="61"/>
      <c r="T260" s="61"/>
      <c r="U260" s="61"/>
    </row>
    <row r="261" spans="1:21" s="9" customFormat="1" ht="15" customHeight="1">
      <c r="A261" s="61"/>
      <c r="B261" s="43"/>
      <c r="C261" s="11"/>
      <c r="F261" s="11"/>
      <c r="G261" s="105"/>
      <c r="H261" s="105"/>
      <c r="I261" s="104"/>
      <c r="J261" s="104"/>
      <c r="L261" s="11"/>
      <c r="Q261" s="61"/>
      <c r="T261" s="61"/>
      <c r="U261" s="61"/>
    </row>
    <row r="262" spans="1:21" s="9" customFormat="1" ht="15" customHeight="1">
      <c r="A262" s="61"/>
      <c r="B262" s="43"/>
      <c r="C262" s="11"/>
      <c r="F262" s="11"/>
      <c r="I262" s="11"/>
      <c r="J262" s="11"/>
      <c r="L262" s="11"/>
      <c r="Q262" s="61"/>
      <c r="T262" s="61"/>
      <c r="U262" s="61"/>
    </row>
    <row r="263" spans="1:21" s="9" customFormat="1" ht="15" customHeight="1">
      <c r="A263" s="61"/>
      <c r="B263" s="43"/>
      <c r="C263" s="11"/>
      <c r="F263" s="11"/>
      <c r="I263" s="11"/>
      <c r="J263" s="11"/>
      <c r="L263" s="11"/>
      <c r="Q263" s="61"/>
      <c r="T263" s="61"/>
      <c r="U263" s="61"/>
    </row>
    <row r="264" spans="1:21" s="9" customFormat="1" ht="15" customHeight="1">
      <c r="A264" s="61"/>
      <c r="B264" s="43"/>
      <c r="C264" s="11"/>
      <c r="F264" s="11"/>
      <c r="I264" s="11"/>
      <c r="J264" s="11"/>
      <c r="L264" s="11"/>
      <c r="Q264" s="61"/>
      <c r="T264" s="61"/>
      <c r="U264" s="61"/>
    </row>
    <row r="265" spans="1:21" s="9" customFormat="1" ht="15" customHeight="1">
      <c r="A265" s="61"/>
      <c r="B265" s="43"/>
      <c r="C265" s="11"/>
      <c r="F265" s="11"/>
      <c r="I265" s="11"/>
      <c r="J265" s="11"/>
      <c r="L265" s="11"/>
      <c r="Q265" s="61"/>
      <c r="T265" s="61"/>
      <c r="U265" s="61"/>
    </row>
    <row r="266" spans="1:21" s="9" customFormat="1" ht="15" customHeight="1">
      <c r="A266" s="61"/>
      <c r="B266" s="43"/>
      <c r="C266" s="11"/>
      <c r="F266" s="11"/>
      <c r="I266" s="11"/>
      <c r="J266" s="11"/>
      <c r="L266" s="11"/>
      <c r="Q266" s="61"/>
      <c r="T266" s="61"/>
      <c r="U266" s="61"/>
    </row>
    <row r="267" spans="1:21" s="9" customFormat="1" ht="15" customHeight="1">
      <c r="A267" s="61"/>
      <c r="B267" s="43"/>
      <c r="C267" s="11"/>
      <c r="F267" s="11"/>
      <c r="I267" s="11"/>
      <c r="J267" s="11"/>
      <c r="L267" s="11"/>
      <c r="Q267" s="61"/>
      <c r="T267" s="61"/>
      <c r="U267" s="61"/>
    </row>
    <row r="268" spans="1:21" s="9" customFormat="1" ht="15" customHeight="1">
      <c r="A268" s="61"/>
      <c r="B268" s="43"/>
      <c r="C268" s="11"/>
      <c r="F268" s="11"/>
      <c r="I268" s="11"/>
      <c r="J268" s="11"/>
      <c r="L268" s="11"/>
      <c r="Q268" s="61"/>
      <c r="T268" s="61"/>
      <c r="U268" s="61"/>
    </row>
    <row r="269" spans="1:21" s="9" customFormat="1" ht="15" customHeight="1">
      <c r="A269" s="61"/>
      <c r="B269" s="43"/>
      <c r="C269" s="11"/>
      <c r="F269" s="11"/>
      <c r="I269" s="11"/>
      <c r="J269" s="11"/>
      <c r="L269" s="11"/>
      <c r="Q269" s="61"/>
      <c r="T269" s="61"/>
      <c r="U269" s="61"/>
    </row>
    <row r="270" spans="1:21" s="9" customFormat="1" ht="15" customHeight="1">
      <c r="A270" s="61"/>
      <c r="B270" s="43"/>
      <c r="C270" s="11"/>
      <c r="F270" s="11"/>
      <c r="I270" s="11"/>
      <c r="J270" s="11"/>
      <c r="L270" s="11"/>
      <c r="Q270" s="61"/>
      <c r="T270" s="61"/>
      <c r="U270" s="61"/>
    </row>
    <row r="271" spans="1:21" s="9" customFormat="1" ht="15" customHeight="1">
      <c r="A271" s="61"/>
      <c r="B271" s="43"/>
      <c r="C271" s="11"/>
      <c r="F271" s="11"/>
      <c r="I271" s="11"/>
      <c r="J271" s="11"/>
      <c r="L271" s="11"/>
      <c r="Q271" s="61"/>
      <c r="T271" s="61"/>
      <c r="U271" s="61"/>
    </row>
    <row r="272" spans="1:21" s="9" customFormat="1" ht="15" customHeight="1">
      <c r="A272" s="61"/>
      <c r="B272" s="43"/>
      <c r="C272" s="11"/>
      <c r="F272" s="11"/>
      <c r="I272" s="11"/>
      <c r="J272" s="11"/>
      <c r="L272" s="11"/>
      <c r="Q272" s="61"/>
      <c r="T272" s="61"/>
      <c r="U272" s="61"/>
    </row>
    <row r="273" spans="1:21" s="9" customFormat="1" ht="15" customHeight="1">
      <c r="A273" s="61"/>
      <c r="B273" s="43"/>
      <c r="C273" s="11"/>
      <c r="F273" s="11"/>
      <c r="I273" s="11"/>
      <c r="J273" s="11"/>
      <c r="L273" s="11"/>
      <c r="Q273" s="61"/>
      <c r="T273" s="61"/>
      <c r="U273" s="61"/>
    </row>
    <row r="274" spans="1:21" s="9" customFormat="1" ht="15" customHeight="1">
      <c r="A274" s="61"/>
      <c r="B274" s="43"/>
      <c r="C274" s="11"/>
      <c r="F274" s="11"/>
      <c r="I274" s="11"/>
      <c r="J274" s="11"/>
      <c r="L274" s="11"/>
      <c r="Q274" s="61"/>
      <c r="T274" s="61"/>
      <c r="U274" s="61"/>
    </row>
    <row r="275" spans="1:21" s="9" customFormat="1" ht="15" customHeight="1">
      <c r="A275" s="61"/>
      <c r="B275" s="43"/>
      <c r="C275" s="11"/>
      <c r="F275" s="11"/>
      <c r="I275" s="11"/>
      <c r="J275" s="11"/>
      <c r="L275" s="11"/>
      <c r="Q275" s="61"/>
      <c r="T275" s="61"/>
      <c r="U275" s="61"/>
    </row>
    <row r="276" spans="1:21" s="9" customFormat="1" ht="15" customHeight="1">
      <c r="A276" s="61"/>
      <c r="B276" s="43"/>
      <c r="C276" s="11"/>
      <c r="F276" s="11"/>
      <c r="I276" s="11"/>
      <c r="J276" s="11"/>
      <c r="L276" s="11"/>
      <c r="Q276" s="61"/>
      <c r="T276" s="61"/>
      <c r="U276" s="61"/>
    </row>
    <row r="277" spans="1:21" s="9" customFormat="1" ht="15" customHeight="1">
      <c r="A277" s="61"/>
      <c r="B277" s="43"/>
      <c r="C277" s="11"/>
      <c r="F277" s="11"/>
      <c r="I277" s="11"/>
      <c r="J277" s="11"/>
      <c r="L277" s="11"/>
      <c r="Q277" s="61"/>
      <c r="T277" s="61"/>
      <c r="U277" s="61"/>
    </row>
    <row r="278" spans="1:21" s="9" customFormat="1" ht="15" customHeight="1">
      <c r="A278" s="61"/>
      <c r="B278" s="43"/>
      <c r="C278" s="11"/>
      <c r="F278" s="11"/>
      <c r="I278" s="11"/>
      <c r="J278" s="11"/>
      <c r="L278" s="11"/>
      <c r="Q278" s="61"/>
      <c r="T278" s="61"/>
      <c r="U278" s="61"/>
    </row>
    <row r="279" spans="1:21" s="9" customFormat="1" ht="15" customHeight="1">
      <c r="A279" s="61"/>
      <c r="B279" s="43"/>
      <c r="C279" s="11"/>
      <c r="F279" s="11"/>
      <c r="I279" s="11"/>
      <c r="J279" s="11"/>
      <c r="L279" s="11"/>
      <c r="Q279" s="61"/>
      <c r="T279" s="61"/>
      <c r="U279" s="61"/>
    </row>
    <row r="280" spans="1:21" s="9" customFormat="1" ht="15" customHeight="1">
      <c r="A280" s="61"/>
      <c r="B280" s="43"/>
      <c r="C280" s="11"/>
      <c r="F280" s="11"/>
      <c r="I280" s="11"/>
      <c r="J280" s="11"/>
      <c r="L280" s="11"/>
      <c r="Q280" s="61"/>
      <c r="T280" s="61"/>
      <c r="U280" s="61"/>
    </row>
  </sheetData>
  <sheetProtection/>
  <mergeCells count="32">
    <mergeCell ref="B214:O214"/>
    <mergeCell ref="B55:O55"/>
    <mergeCell ref="B65:O65"/>
    <mergeCell ref="B106:O106"/>
    <mergeCell ref="B129:O129"/>
    <mergeCell ref="B159:O159"/>
    <mergeCell ref="B7:K7"/>
    <mergeCell ref="A9:A12"/>
    <mergeCell ref="B9:B12"/>
    <mergeCell ref="C9:E9"/>
    <mergeCell ref="F9:H9"/>
    <mergeCell ref="I9:K9"/>
    <mergeCell ref="D11:D12"/>
    <mergeCell ref="C10:C12"/>
    <mergeCell ref="D10:E10"/>
    <mergeCell ref="F10:F12"/>
    <mergeCell ref="I10:I12"/>
    <mergeCell ref="J10:K10"/>
    <mergeCell ref="M11:M12"/>
    <mergeCell ref="N11:N12"/>
    <mergeCell ref="E11:E12"/>
    <mergeCell ref="G11:G12"/>
    <mergeCell ref="L9:N9"/>
    <mergeCell ref="O9:O12"/>
    <mergeCell ref="B14:O14"/>
    <mergeCell ref="H11:H12"/>
    <mergeCell ref="B48:O48"/>
    <mergeCell ref="L10:L12"/>
    <mergeCell ref="M10:N10"/>
    <mergeCell ref="J11:J12"/>
    <mergeCell ref="K11:K12"/>
    <mergeCell ref="G10:H10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2019-11-21T07:38:49Z</cp:lastPrinted>
  <dcterms:created xsi:type="dcterms:W3CDTF">2001-01-28T19:21:19Z</dcterms:created>
  <dcterms:modified xsi:type="dcterms:W3CDTF">2019-11-28T14:44:10Z</dcterms:modified>
  <cp:category/>
  <cp:version/>
  <cp:contentType/>
  <cp:contentStatus/>
</cp:coreProperties>
</file>