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ai\nuo darbastalio\SPRENDIMU_PR\2017 m\2017-06-\Biudzetas\"/>
    </mc:Choice>
  </mc:AlternateContent>
  <bookViews>
    <workbookView xWindow="0" yWindow="0" windowWidth="20490" windowHeight="6750" tabRatio="510" activeTab="1"/>
  </bookViews>
  <sheets>
    <sheet name="PAJAMOS" sheetId="1" r:id="rId1"/>
    <sheet name="Asignavimai" sheetId="2" r:id="rId2"/>
    <sheet name="AARP" sheetId="5" r:id="rId3"/>
    <sheet name="BIP" sheetId="3" r:id="rId4"/>
    <sheet name=" 2016 m. nepanaudotos pajamos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Asignavimai!$A$14:$U$293</definedName>
    <definedName name="_xlnm.Print_Titles" localSheetId="1">Asignavimai!$10:$14</definedName>
    <definedName name="_xlnm.Print_Titles" localSheetId="0">PAJAMOS!$10:$10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9" i="2" l="1"/>
  <c r="S269" i="2"/>
  <c r="L41" i="4"/>
  <c r="F41" i="4" s="1"/>
  <c r="E41" i="4"/>
  <c r="D41" i="4"/>
  <c r="D40" i="4" s="1"/>
  <c r="D39" i="4" s="1"/>
  <c r="E40" i="4"/>
  <c r="G40" i="4"/>
  <c r="G39" i="4" s="1"/>
  <c r="H40" i="4"/>
  <c r="I40" i="4"/>
  <c r="J40" i="4"/>
  <c r="J39" i="4" s="1"/>
  <c r="K40" i="4"/>
  <c r="K39" i="4" s="1"/>
  <c r="E39" i="4"/>
  <c r="H39" i="4"/>
  <c r="I39" i="4"/>
  <c r="I261" i="2"/>
  <c r="H251" i="2"/>
  <c r="E251" i="2" s="1"/>
  <c r="G251" i="2"/>
  <c r="D251" i="2" s="1"/>
  <c r="F251" i="2"/>
  <c r="I249" i="2"/>
  <c r="J249" i="2"/>
  <c r="K249" i="2"/>
  <c r="L249" i="2"/>
  <c r="O249" i="2"/>
  <c r="Q249" i="2"/>
  <c r="R249" i="2"/>
  <c r="H240" i="2"/>
  <c r="E240" i="2" s="1"/>
  <c r="G240" i="2"/>
  <c r="D240" i="2" s="1"/>
  <c r="F240" i="2"/>
  <c r="I238" i="2"/>
  <c r="J238" i="2"/>
  <c r="K238" i="2"/>
  <c r="L238" i="2"/>
  <c r="Q238" i="2"/>
  <c r="R238" i="2"/>
  <c r="S224" i="2"/>
  <c r="H214" i="2"/>
  <c r="E214" i="2" s="1"/>
  <c r="G214" i="2"/>
  <c r="D214" i="2" s="1"/>
  <c r="F214" i="2"/>
  <c r="I212" i="2"/>
  <c r="J212" i="2"/>
  <c r="K212" i="2"/>
  <c r="L212" i="2"/>
  <c r="O212" i="2"/>
  <c r="P212" i="2"/>
  <c r="Q212" i="2"/>
  <c r="R212" i="2"/>
  <c r="I201" i="2"/>
  <c r="J201" i="2"/>
  <c r="K201" i="2"/>
  <c r="L201" i="2"/>
  <c r="O201" i="2"/>
  <c r="Q201" i="2"/>
  <c r="R201" i="2"/>
  <c r="H203" i="2"/>
  <c r="E203" i="2" s="1"/>
  <c r="G203" i="2"/>
  <c r="D203" i="2" s="1"/>
  <c r="F203" i="2"/>
  <c r="N202" i="2"/>
  <c r="N201" i="2" s="1"/>
  <c r="M202" i="2"/>
  <c r="M201" i="2" s="1"/>
  <c r="U196" i="2"/>
  <c r="H193" i="2"/>
  <c r="G193" i="2"/>
  <c r="G192" i="2"/>
  <c r="H192" i="2"/>
  <c r="U158" i="2"/>
  <c r="S129" i="2"/>
  <c r="G126" i="2"/>
  <c r="S124" i="2"/>
  <c r="S115" i="2"/>
  <c r="H113" i="2"/>
  <c r="H106" i="2" s="1"/>
  <c r="G113" i="2"/>
  <c r="D113" i="2" s="1"/>
  <c r="F113" i="2"/>
  <c r="I106" i="2"/>
  <c r="K106" i="2"/>
  <c r="L106" i="2"/>
  <c r="N106" i="2"/>
  <c r="O106" i="2"/>
  <c r="P106" i="2"/>
  <c r="Q106" i="2"/>
  <c r="R106" i="2"/>
  <c r="T106" i="2"/>
  <c r="U106" i="2"/>
  <c r="M107" i="2"/>
  <c r="S104" i="2"/>
  <c r="D104" i="2" s="1"/>
  <c r="C104" i="2" s="1"/>
  <c r="S103" i="2"/>
  <c r="D103" i="2" s="1"/>
  <c r="C103" i="2" s="1"/>
  <c r="S102" i="2"/>
  <c r="D102" i="2" s="1"/>
  <c r="C102" i="2" s="1"/>
  <c r="S101" i="2"/>
  <c r="D101" i="2" s="1"/>
  <c r="C101" i="2" s="1"/>
  <c r="S100" i="2"/>
  <c r="D100" i="2" s="1"/>
  <c r="C100" i="2" s="1"/>
  <c r="E94" i="2"/>
  <c r="F94" i="2"/>
  <c r="E95" i="2"/>
  <c r="F95" i="2"/>
  <c r="E96" i="2"/>
  <c r="F96" i="2"/>
  <c r="G91" i="2"/>
  <c r="H91" i="2"/>
  <c r="I91" i="2"/>
  <c r="J91" i="2"/>
  <c r="K91" i="2"/>
  <c r="L91" i="2"/>
  <c r="M91" i="2"/>
  <c r="N91" i="2"/>
  <c r="O91" i="2"/>
  <c r="P91" i="2"/>
  <c r="Q91" i="2"/>
  <c r="R91" i="2"/>
  <c r="T91" i="2"/>
  <c r="U91" i="2"/>
  <c r="S96" i="2"/>
  <c r="D96" i="2" s="1"/>
  <c r="S95" i="2"/>
  <c r="D95" i="2" s="1"/>
  <c r="S94" i="2"/>
  <c r="D94" i="2" s="1"/>
  <c r="U90" i="2"/>
  <c r="U83" i="2" s="1"/>
  <c r="S88" i="2"/>
  <c r="G83" i="2"/>
  <c r="H83" i="2"/>
  <c r="J83" i="2"/>
  <c r="K83" i="2"/>
  <c r="L83" i="2"/>
  <c r="M83" i="2"/>
  <c r="N83" i="2"/>
  <c r="O83" i="2"/>
  <c r="P83" i="2"/>
  <c r="Q83" i="2"/>
  <c r="R83" i="2"/>
  <c r="T83" i="2"/>
  <c r="E87" i="2"/>
  <c r="F87" i="2"/>
  <c r="S87" i="2"/>
  <c r="D87" i="2" s="1"/>
  <c r="C87" i="2" s="1"/>
  <c r="S81" i="2"/>
  <c r="L26" i="4"/>
  <c r="S57" i="2"/>
  <c r="C203" i="2" l="1"/>
  <c r="C240" i="2"/>
  <c r="C113" i="2"/>
  <c r="C251" i="2"/>
  <c r="C41" i="4"/>
  <c r="C40" i="4" s="1"/>
  <c r="C39" i="4" s="1"/>
  <c r="F40" i="4"/>
  <c r="F39" i="4" s="1"/>
  <c r="L40" i="4"/>
  <c r="L39" i="4" s="1"/>
  <c r="U261" i="2"/>
  <c r="E113" i="2"/>
  <c r="C214" i="2"/>
  <c r="C95" i="2"/>
  <c r="C96" i="2"/>
  <c r="C94" i="2"/>
  <c r="L72" i="2"/>
  <c r="I67" i="2"/>
  <c r="G67" i="2"/>
  <c r="S62" i="2"/>
  <c r="H55" i="2"/>
  <c r="H38" i="2"/>
  <c r="G38" i="2"/>
  <c r="H20" i="2"/>
  <c r="G20" i="2"/>
  <c r="E28" i="3"/>
  <c r="C52" i="1" l="1"/>
  <c r="C64" i="1"/>
  <c r="C60" i="1"/>
  <c r="C55" i="1"/>
  <c r="C53" i="1"/>
  <c r="C49" i="1"/>
  <c r="C46" i="1"/>
  <c r="S27" i="2" l="1"/>
  <c r="J38" i="4" l="1"/>
  <c r="S250" i="2" s="1"/>
  <c r="S249" i="2" s="1"/>
  <c r="G272" i="2" l="1"/>
  <c r="C56" i="1" l="1"/>
  <c r="H250" i="2"/>
  <c r="H249" i="2" s="1"/>
  <c r="G250" i="2"/>
  <c r="G249" i="2" s="1"/>
  <c r="R266" i="2"/>
  <c r="T208" i="2"/>
  <c r="U208" i="2"/>
  <c r="U72" i="2" l="1"/>
  <c r="J35" i="4"/>
  <c r="S208" i="2" s="1"/>
  <c r="L50" i="4"/>
  <c r="U272" i="2" s="1"/>
  <c r="K50" i="4"/>
  <c r="T272" i="2" s="1"/>
  <c r="J50" i="4"/>
  <c r="J49" i="4" s="1"/>
  <c r="J48" i="4" s="1"/>
  <c r="I49" i="4"/>
  <c r="H49" i="4"/>
  <c r="I51" i="4"/>
  <c r="J51" i="4"/>
  <c r="D52" i="4"/>
  <c r="D51" i="4" s="1"/>
  <c r="G52" i="4"/>
  <c r="G51" i="4" s="1"/>
  <c r="H52" i="4"/>
  <c r="H51" i="4" s="1"/>
  <c r="I52" i="4"/>
  <c r="J52" i="4"/>
  <c r="K52" i="4"/>
  <c r="K51" i="4" s="1"/>
  <c r="L52" i="4"/>
  <c r="L51" i="4" s="1"/>
  <c r="D53" i="4"/>
  <c r="C53" i="4" s="1"/>
  <c r="C52" i="4" s="1"/>
  <c r="C51" i="4" s="1"/>
  <c r="E53" i="4"/>
  <c r="E52" i="4" s="1"/>
  <c r="E51" i="4" s="1"/>
  <c r="F53" i="4"/>
  <c r="F52" i="4" s="1"/>
  <c r="F51" i="4" s="1"/>
  <c r="H272" i="2"/>
  <c r="S99" i="2"/>
  <c r="D99" i="2" s="1"/>
  <c r="C99" i="2" s="1"/>
  <c r="S98" i="2"/>
  <c r="D98" i="2" s="1"/>
  <c r="C98" i="2" s="1"/>
  <c r="L49" i="4" l="1"/>
  <c r="L48" i="4" s="1"/>
  <c r="F50" i="4"/>
  <c r="F49" i="4" s="1"/>
  <c r="F48" i="4" s="1"/>
  <c r="I48" i="4"/>
  <c r="I54" i="4" s="1"/>
  <c r="I57" i="4"/>
  <c r="H48" i="4"/>
  <c r="H54" i="4" s="1"/>
  <c r="H57" i="4"/>
  <c r="D50" i="4"/>
  <c r="C50" i="4" s="1"/>
  <c r="C49" i="4" s="1"/>
  <c r="C48" i="4" s="1"/>
  <c r="S272" i="2"/>
  <c r="K49" i="4"/>
  <c r="E50" i="4"/>
  <c r="E49" i="4" s="1"/>
  <c r="G49" i="4"/>
  <c r="G48" i="4" s="1"/>
  <c r="D49" i="4" l="1"/>
  <c r="D48" i="4" s="1"/>
  <c r="E48" i="4"/>
  <c r="E54" i="4" s="1"/>
  <c r="K48" i="4"/>
  <c r="K54" i="4" s="1"/>
  <c r="K57" i="4"/>
  <c r="C43" i="1"/>
  <c r="S117" i="2" l="1"/>
  <c r="J72" i="2"/>
  <c r="G31" i="2"/>
  <c r="H31" i="2"/>
  <c r="H30" i="2"/>
  <c r="E67" i="2" l="1"/>
  <c r="C30" i="1" l="1"/>
  <c r="C63" i="1"/>
  <c r="F67" i="2" l="1"/>
  <c r="D67" i="2"/>
  <c r="H59" i="2"/>
  <c r="J59" i="2"/>
  <c r="K59" i="2"/>
  <c r="L59" i="2"/>
  <c r="M59" i="2"/>
  <c r="N59" i="2"/>
  <c r="O59" i="2"/>
  <c r="Q59" i="2"/>
  <c r="R59" i="2"/>
  <c r="I59" i="2" l="1"/>
  <c r="G59" i="2"/>
  <c r="C67" i="2" l="1"/>
  <c r="E18" i="5" l="1"/>
  <c r="E17" i="5"/>
  <c r="S75" i="2" l="1"/>
  <c r="U77" i="2" l="1"/>
  <c r="E76" i="2" l="1"/>
  <c r="F76" i="2"/>
  <c r="E77" i="2"/>
  <c r="F77" i="2"/>
  <c r="D77" i="2"/>
  <c r="H74" i="2"/>
  <c r="I74" i="2"/>
  <c r="J74" i="2"/>
  <c r="K74" i="2"/>
  <c r="L74" i="2"/>
  <c r="M74" i="2"/>
  <c r="N74" i="2"/>
  <c r="O74" i="2"/>
  <c r="P74" i="2"/>
  <c r="Q74" i="2"/>
  <c r="R74" i="2"/>
  <c r="T74" i="2"/>
  <c r="U74" i="2"/>
  <c r="C77" i="2" l="1"/>
  <c r="F118" i="2" l="1"/>
  <c r="G119" i="2" l="1"/>
  <c r="F119" i="2" s="1"/>
  <c r="E119" i="2" s="1"/>
  <c r="T118" i="2"/>
  <c r="E118" i="2" s="1"/>
  <c r="S118" i="2"/>
  <c r="D118" i="2" s="1"/>
  <c r="C118" i="2" s="1"/>
  <c r="H261" i="2" l="1"/>
  <c r="G261" i="2"/>
  <c r="H256" i="2"/>
  <c r="H245" i="2"/>
  <c r="H239" i="2"/>
  <c r="H238" i="2" s="1"/>
  <c r="H234" i="2"/>
  <c r="H229" i="2"/>
  <c r="H224" i="2"/>
  <c r="H219" i="2"/>
  <c r="H213" i="2"/>
  <c r="H212" i="2" s="1"/>
  <c r="H208" i="2"/>
  <c r="G208" i="2"/>
  <c r="H202" i="2"/>
  <c r="H201" i="2" s="1"/>
  <c r="G202" i="2" l="1"/>
  <c r="G201" i="2" s="1"/>
  <c r="G234" i="2"/>
  <c r="G229" i="2"/>
  <c r="G224" i="2"/>
  <c r="G219" i="2"/>
  <c r="G213" i="2"/>
  <c r="G212" i="2" s="1"/>
  <c r="G245" i="2"/>
  <c r="G239" i="2"/>
  <c r="G238" i="2" s="1"/>
  <c r="G256" i="2"/>
  <c r="U275" i="2" l="1"/>
  <c r="U73" i="2"/>
  <c r="S73" i="2"/>
  <c r="S72" i="2"/>
  <c r="S82" i="2" l="1"/>
  <c r="D82" i="2" s="1"/>
  <c r="C82" i="2" s="1"/>
  <c r="G78" i="2" l="1"/>
  <c r="H78" i="2"/>
  <c r="I78" i="2"/>
  <c r="J78" i="2"/>
  <c r="K78" i="2"/>
  <c r="L78" i="2"/>
  <c r="M78" i="2"/>
  <c r="N78" i="2"/>
  <c r="O78" i="2"/>
  <c r="P78" i="2"/>
  <c r="Q78" i="2"/>
  <c r="R78" i="2"/>
  <c r="T78" i="2"/>
  <c r="U78" i="2"/>
  <c r="D20" i="5"/>
  <c r="E24" i="5"/>
  <c r="D24" i="5"/>
  <c r="E16" i="5"/>
  <c r="D16" i="5"/>
  <c r="E41" i="5" l="1"/>
  <c r="D36" i="5"/>
  <c r="D32" i="5"/>
  <c r="E30" i="5"/>
  <c r="D30" i="5"/>
  <c r="D14" i="5"/>
  <c r="E32" i="5" l="1"/>
  <c r="E39" i="5" s="1"/>
  <c r="D39" i="5"/>
  <c r="S192" i="2" l="1"/>
  <c r="T269" i="2" l="1"/>
  <c r="S189" i="2" l="1"/>
  <c r="S188" i="2"/>
  <c r="S187" i="2"/>
  <c r="S184" i="2"/>
  <c r="S183" i="2"/>
  <c r="S182" i="2"/>
  <c r="S179" i="2"/>
  <c r="S178" i="2"/>
  <c r="S177" i="2"/>
  <c r="S174" i="2"/>
  <c r="S173" i="2"/>
  <c r="S172" i="2"/>
  <c r="S169" i="2"/>
  <c r="S168" i="2"/>
  <c r="S167" i="2"/>
  <c r="S164" i="2"/>
  <c r="S163" i="2"/>
  <c r="S162" i="2"/>
  <c r="S159" i="2"/>
  <c r="S158" i="2"/>
  <c r="S157" i="2"/>
  <c r="S154" i="2"/>
  <c r="S153" i="2"/>
  <c r="S149" i="2"/>
  <c r="S148" i="2"/>
  <c r="S144" i="2"/>
  <c r="S143" i="2"/>
  <c r="S139" i="2"/>
  <c r="S138" i="2"/>
  <c r="S134" i="2"/>
  <c r="S150" i="2"/>
  <c r="S145" i="2"/>
  <c r="S140" i="2"/>
  <c r="S135" i="2"/>
  <c r="S133" i="2"/>
  <c r="O239" i="2" l="1"/>
  <c r="O238" i="2" s="1"/>
  <c r="M239" i="2"/>
  <c r="M238" i="2" s="1"/>
  <c r="U192" i="2" l="1"/>
  <c r="U199" i="2"/>
  <c r="U256" i="2"/>
  <c r="T34" i="2" l="1"/>
  <c r="T31" i="2"/>
  <c r="H17" i="2"/>
  <c r="G17" i="2"/>
  <c r="G20" i="4" l="1"/>
  <c r="P63" i="2" s="1"/>
  <c r="P59" i="2" s="1"/>
  <c r="L20" i="4"/>
  <c r="U63" i="2" s="1"/>
  <c r="L29" i="4"/>
  <c r="U127" i="2" s="1"/>
  <c r="J23" i="4" l="1"/>
  <c r="S69" i="2" s="1"/>
  <c r="E29" i="3" l="1"/>
  <c r="D29" i="3"/>
  <c r="D28" i="3"/>
  <c r="F27" i="3"/>
  <c r="D27" i="3"/>
  <c r="F26" i="3"/>
  <c r="D26" i="3"/>
  <c r="F25" i="3"/>
  <c r="D25" i="3"/>
  <c r="F24" i="3"/>
  <c r="D24" i="3"/>
  <c r="F23" i="3"/>
  <c r="F22" i="3"/>
  <c r="D23" i="3"/>
  <c r="D22" i="3"/>
  <c r="F21" i="3"/>
  <c r="F20" i="3"/>
  <c r="D20" i="3"/>
  <c r="F19" i="3"/>
  <c r="D19" i="3"/>
  <c r="E17" i="3"/>
  <c r="D17" i="3"/>
  <c r="F16" i="3"/>
  <c r="F15" i="3"/>
  <c r="F14" i="3"/>
  <c r="T192" i="2" l="1"/>
  <c r="G263" i="2" l="1"/>
  <c r="G258" i="2"/>
  <c r="G253" i="2"/>
  <c r="G247" i="2"/>
  <c r="G242" i="2"/>
  <c r="G236" i="2"/>
  <c r="G231" i="2"/>
  <c r="G226" i="2"/>
  <c r="G221" i="2"/>
  <c r="G216" i="2"/>
  <c r="G210" i="2"/>
  <c r="G205" i="2"/>
  <c r="H122" i="2"/>
  <c r="D123" i="2" l="1"/>
  <c r="E123" i="2"/>
  <c r="F123" i="2"/>
  <c r="C123" i="2" l="1"/>
  <c r="T199" i="2"/>
  <c r="S199" i="2"/>
  <c r="T196" i="2"/>
  <c r="S196" i="2"/>
  <c r="T266" i="2"/>
  <c r="S266" i="2"/>
  <c r="T261" i="2"/>
  <c r="S261" i="2"/>
  <c r="T256" i="2"/>
  <c r="S256" i="2"/>
  <c r="U250" i="2"/>
  <c r="U249" i="2" s="1"/>
  <c r="T250" i="2"/>
  <c r="T249" i="2" s="1"/>
  <c r="U245" i="2"/>
  <c r="T245" i="2"/>
  <c r="S245" i="2"/>
  <c r="U239" i="2"/>
  <c r="U238" i="2" s="1"/>
  <c r="T239" i="2"/>
  <c r="T238" i="2" s="1"/>
  <c r="S239" i="2"/>
  <c r="S238" i="2" s="1"/>
  <c r="U234" i="2"/>
  <c r="T234" i="2"/>
  <c r="S234" i="2"/>
  <c r="U229" i="2"/>
  <c r="T229" i="2"/>
  <c r="S229" i="2"/>
  <c r="T224" i="2"/>
  <c r="U224" i="2"/>
  <c r="U219" i="2"/>
  <c r="T219" i="2"/>
  <c r="S219" i="2"/>
  <c r="U213" i="2"/>
  <c r="U212" i="2" s="1"/>
  <c r="T213" i="2"/>
  <c r="T212" i="2" s="1"/>
  <c r="S213" i="2"/>
  <c r="S212" i="2" s="1"/>
  <c r="U202" i="2"/>
  <c r="U201" i="2" s="1"/>
  <c r="T202" i="2" l="1"/>
  <c r="T201" i="2" s="1"/>
  <c r="S202" i="2" l="1"/>
  <c r="S201" i="2" s="1"/>
  <c r="N266" i="2" l="1"/>
  <c r="M108" i="2"/>
  <c r="M106" i="2" s="1"/>
  <c r="N261" i="2"/>
  <c r="M261" i="2"/>
  <c r="N256" i="2"/>
  <c r="M256" i="2"/>
  <c r="N250" i="2"/>
  <c r="N249" i="2" s="1"/>
  <c r="M250" i="2"/>
  <c r="M249" i="2" s="1"/>
  <c r="N245" i="2"/>
  <c r="M245" i="2"/>
  <c r="N239" i="2"/>
  <c r="N238" i="2" s="1"/>
  <c r="N234" i="2"/>
  <c r="M234" i="2"/>
  <c r="N229" i="2"/>
  <c r="M229" i="2"/>
  <c r="N224" i="2"/>
  <c r="M224" i="2"/>
  <c r="N219" i="2"/>
  <c r="M219" i="2"/>
  <c r="N213" i="2"/>
  <c r="N212" i="2" s="1"/>
  <c r="M213" i="2"/>
  <c r="M212" i="2" s="1"/>
  <c r="N208" i="2"/>
  <c r="M208" i="2"/>
  <c r="M266" i="2"/>
  <c r="D20" i="4" l="1"/>
  <c r="D23" i="4"/>
  <c r="G28" i="4"/>
  <c r="E70" i="2"/>
  <c r="F70" i="2"/>
  <c r="E24" i="4"/>
  <c r="F24" i="4"/>
  <c r="G47" i="4"/>
  <c r="G44" i="4"/>
  <c r="G32" i="4"/>
  <c r="G35" i="4"/>
  <c r="G38" i="4"/>
  <c r="G24" i="4"/>
  <c r="F47" i="4"/>
  <c r="F46" i="4" s="1"/>
  <c r="F45" i="4" s="1"/>
  <c r="E47" i="4"/>
  <c r="E46" i="4" s="1"/>
  <c r="E45" i="4" s="1"/>
  <c r="F44" i="4"/>
  <c r="F43" i="4" s="1"/>
  <c r="F42" i="4" s="1"/>
  <c r="E44" i="4"/>
  <c r="E43" i="4" s="1"/>
  <c r="E42" i="4" s="1"/>
  <c r="F38" i="4"/>
  <c r="F37" i="4" s="1"/>
  <c r="F36" i="4" s="1"/>
  <c r="E38" i="4"/>
  <c r="E37" i="4" s="1"/>
  <c r="E36" i="4" s="1"/>
  <c r="F35" i="4"/>
  <c r="F34" i="4" s="1"/>
  <c r="F33" i="4" s="1"/>
  <c r="E35" i="4"/>
  <c r="E34" i="4" s="1"/>
  <c r="E33" i="4" s="1"/>
  <c r="F32" i="4"/>
  <c r="F31" i="4" s="1"/>
  <c r="E32" i="4"/>
  <c r="E31" i="4" s="1"/>
  <c r="F29" i="4"/>
  <c r="E29" i="4"/>
  <c r="D29" i="4"/>
  <c r="F27" i="4"/>
  <c r="E27" i="4"/>
  <c r="D27" i="4"/>
  <c r="F26" i="4"/>
  <c r="E26" i="4"/>
  <c r="D26" i="4"/>
  <c r="F23" i="4"/>
  <c r="E23" i="4"/>
  <c r="F21" i="4"/>
  <c r="E21" i="4"/>
  <c r="F20" i="4"/>
  <c r="E20" i="4"/>
  <c r="F18" i="4"/>
  <c r="E18" i="4"/>
  <c r="L46" i="4"/>
  <c r="L45" i="4" s="1"/>
  <c r="K46" i="4"/>
  <c r="K45" i="4" s="1"/>
  <c r="J46" i="4"/>
  <c r="J45" i="4" s="1"/>
  <c r="I46" i="4"/>
  <c r="I45" i="4" s="1"/>
  <c r="H46" i="4"/>
  <c r="H45" i="4" s="1"/>
  <c r="L43" i="4"/>
  <c r="L42" i="4" s="1"/>
  <c r="K43" i="4"/>
  <c r="K42" i="4" s="1"/>
  <c r="J43" i="4"/>
  <c r="J42" i="4" s="1"/>
  <c r="I43" i="4"/>
  <c r="I42" i="4" s="1"/>
  <c r="H43" i="4"/>
  <c r="H42" i="4" s="1"/>
  <c r="L37" i="4"/>
  <c r="L36" i="4" s="1"/>
  <c r="K37" i="4"/>
  <c r="K36" i="4" s="1"/>
  <c r="J37" i="4"/>
  <c r="J36" i="4" s="1"/>
  <c r="I37" i="4"/>
  <c r="I36" i="4" s="1"/>
  <c r="H37" i="4"/>
  <c r="H36" i="4" s="1"/>
  <c r="L34" i="4"/>
  <c r="L33" i="4" s="1"/>
  <c r="K34" i="4"/>
  <c r="K33" i="4" s="1"/>
  <c r="J34" i="4"/>
  <c r="J33" i="4" s="1"/>
  <c r="I34" i="4"/>
  <c r="I33" i="4" s="1"/>
  <c r="H34" i="4"/>
  <c r="H33" i="4" s="1"/>
  <c r="L31" i="4"/>
  <c r="K31" i="4"/>
  <c r="I31" i="4"/>
  <c r="H31" i="4"/>
  <c r="J28" i="4"/>
  <c r="L28" i="4"/>
  <c r="K28" i="4"/>
  <c r="I28" i="4"/>
  <c r="I61" i="4" s="1"/>
  <c r="H28" i="4"/>
  <c r="H61" i="4" s="1"/>
  <c r="L25" i="4"/>
  <c r="L59" i="4" s="1"/>
  <c r="K25" i="4"/>
  <c r="K59" i="4" s="1"/>
  <c r="J25" i="4"/>
  <c r="J59" i="4" s="1"/>
  <c r="I25" i="4"/>
  <c r="I59" i="4" s="1"/>
  <c r="H25" i="4"/>
  <c r="H59" i="4" s="1"/>
  <c r="G25" i="4"/>
  <c r="G59" i="4" s="1"/>
  <c r="K22" i="4"/>
  <c r="K58" i="4" s="1"/>
  <c r="J22" i="4"/>
  <c r="I22" i="4"/>
  <c r="I58" i="4" s="1"/>
  <c r="H22" i="4"/>
  <c r="H58" i="4" s="1"/>
  <c r="L19" i="4"/>
  <c r="L57" i="4" s="1"/>
  <c r="K19" i="4"/>
  <c r="I19" i="4"/>
  <c r="H19" i="4"/>
  <c r="K17" i="4"/>
  <c r="I17" i="4"/>
  <c r="H17" i="4"/>
  <c r="J61" i="4" l="1"/>
  <c r="L61" i="4"/>
  <c r="H56" i="4"/>
  <c r="H16" i="4"/>
  <c r="K30" i="4"/>
  <c r="K60" i="4"/>
  <c r="D47" i="4"/>
  <c r="I56" i="4"/>
  <c r="I16" i="4"/>
  <c r="D35" i="4"/>
  <c r="G37" i="4"/>
  <c r="G36" i="4" s="1"/>
  <c r="L30" i="4"/>
  <c r="L60" i="4"/>
  <c r="K56" i="4"/>
  <c r="K16" i="4"/>
  <c r="H30" i="4"/>
  <c r="H60" i="4"/>
  <c r="E30" i="4"/>
  <c r="E60" i="4"/>
  <c r="D32" i="4"/>
  <c r="K61" i="4"/>
  <c r="I30" i="4"/>
  <c r="I60" i="4"/>
  <c r="F30" i="4"/>
  <c r="F60" i="4"/>
  <c r="D24" i="4"/>
  <c r="D22" i="4" s="1"/>
  <c r="D58" i="4" s="1"/>
  <c r="P70" i="2"/>
  <c r="D44" i="4"/>
  <c r="C44" i="4" s="1"/>
  <c r="C43" i="4" s="1"/>
  <c r="C42" i="4" s="1"/>
  <c r="J58" i="4"/>
  <c r="G19" i="4"/>
  <c r="G57" i="4" s="1"/>
  <c r="F17" i="4"/>
  <c r="F56" i="4" s="1"/>
  <c r="G43" i="4"/>
  <c r="G42" i="4" s="1"/>
  <c r="G22" i="4"/>
  <c r="G58" i="4" s="1"/>
  <c r="D38" i="4"/>
  <c r="C38" i="4" s="1"/>
  <c r="C37" i="4" s="1"/>
  <c r="C36" i="4" s="1"/>
  <c r="E22" i="4"/>
  <c r="E58" i="4" s="1"/>
  <c r="E25" i="4"/>
  <c r="E59" i="4" s="1"/>
  <c r="J31" i="4"/>
  <c r="F25" i="4"/>
  <c r="F59" i="4" s="1"/>
  <c r="C27" i="4"/>
  <c r="D25" i="4"/>
  <c r="D59" i="4" s="1"/>
  <c r="C20" i="4"/>
  <c r="C29" i="4"/>
  <c r="E28" i="4"/>
  <c r="E61" i="4" s="1"/>
  <c r="F22" i="4"/>
  <c r="F58" i="4" s="1"/>
  <c r="L22" i="4"/>
  <c r="L58" i="4" s="1"/>
  <c r="J17" i="4"/>
  <c r="J56" i="4" s="1"/>
  <c r="L17" i="4"/>
  <c r="L56" i="4" s="1"/>
  <c r="E17" i="4"/>
  <c r="C26" i="4"/>
  <c r="F28" i="4"/>
  <c r="F61" i="4" s="1"/>
  <c r="G31" i="4"/>
  <c r="E19" i="4"/>
  <c r="E57" i="4" s="1"/>
  <c r="G34" i="4"/>
  <c r="G33" i="4" s="1"/>
  <c r="G46" i="4"/>
  <c r="D140" i="2"/>
  <c r="C140" i="2" s="1"/>
  <c r="D134" i="2"/>
  <c r="C134" i="2" s="1"/>
  <c r="D43" i="4" l="1"/>
  <c r="D42" i="4" s="1"/>
  <c r="L16" i="4"/>
  <c r="L54" i="4" s="1"/>
  <c r="C24" i="4"/>
  <c r="E56" i="4"/>
  <c r="E16" i="4"/>
  <c r="J30" i="4"/>
  <c r="J60" i="4"/>
  <c r="G30" i="4"/>
  <c r="G60" i="4"/>
  <c r="G45" i="4"/>
  <c r="G61" i="4"/>
  <c r="D37" i="4"/>
  <c r="D36" i="4" s="1"/>
  <c r="C25" i="4"/>
  <c r="C59" i="4" s="1"/>
  <c r="I55" i="4"/>
  <c r="C23" i="4"/>
  <c r="F19" i="4"/>
  <c r="F57" i="4" s="1"/>
  <c r="H55" i="4"/>
  <c r="D28" i="4"/>
  <c r="C47" i="4"/>
  <c r="C46" i="4" s="1"/>
  <c r="C45" i="4" s="1"/>
  <c r="D46" i="4"/>
  <c r="C35" i="4"/>
  <c r="C34" i="4" s="1"/>
  <c r="C33" i="4" s="1"/>
  <c r="D34" i="4"/>
  <c r="D33" i="4" s="1"/>
  <c r="D31" i="4"/>
  <c r="C32" i="4"/>
  <c r="C31" i="4" s="1"/>
  <c r="C60" i="4" s="1"/>
  <c r="C28" i="4"/>
  <c r="K55" i="4"/>
  <c r="L55" i="4"/>
  <c r="F294" i="2"/>
  <c r="C294" i="2" s="1"/>
  <c r="C22" i="4" l="1"/>
  <c r="C58" i="4" s="1"/>
  <c r="D30" i="4"/>
  <c r="D60" i="4"/>
  <c r="C61" i="4"/>
  <c r="C30" i="4"/>
  <c r="D45" i="4"/>
  <c r="D61" i="4"/>
  <c r="F16" i="4"/>
  <c r="F54" i="4" s="1"/>
  <c r="F55" i="4"/>
  <c r="E55" i="4"/>
  <c r="T17" i="2"/>
  <c r="S17" i="2"/>
  <c r="G68" i="2" l="1"/>
  <c r="H68" i="2"/>
  <c r="I68" i="2"/>
  <c r="J68" i="2"/>
  <c r="K68" i="2"/>
  <c r="L68" i="2"/>
  <c r="N68" i="2"/>
  <c r="O68" i="2"/>
  <c r="P68" i="2"/>
  <c r="Q68" i="2"/>
  <c r="R68" i="2"/>
  <c r="T68" i="2"/>
  <c r="E115" i="2"/>
  <c r="F115" i="2"/>
  <c r="E116" i="2"/>
  <c r="F116" i="2"/>
  <c r="F120" i="2"/>
  <c r="H25" i="2"/>
  <c r="U61" i="2" l="1"/>
  <c r="D61" i="2"/>
  <c r="E61" i="2"/>
  <c r="F61" i="2" l="1"/>
  <c r="C61" i="2" s="1"/>
  <c r="D188" i="2" l="1"/>
  <c r="E188" i="2"/>
  <c r="F188" i="2"/>
  <c r="D183" i="2"/>
  <c r="E183" i="2"/>
  <c r="F183" i="2"/>
  <c r="D178" i="2"/>
  <c r="E178" i="2"/>
  <c r="F178" i="2"/>
  <c r="D173" i="2"/>
  <c r="E173" i="2"/>
  <c r="F173" i="2"/>
  <c r="D174" i="2"/>
  <c r="E174" i="2"/>
  <c r="F174" i="2"/>
  <c r="D168" i="2"/>
  <c r="E168" i="2"/>
  <c r="F168" i="2"/>
  <c r="D169" i="2"/>
  <c r="E169" i="2"/>
  <c r="F169" i="2"/>
  <c r="D163" i="2"/>
  <c r="E163" i="2"/>
  <c r="F163" i="2"/>
  <c r="D158" i="2"/>
  <c r="E158" i="2"/>
  <c r="F158" i="2"/>
  <c r="D154" i="2"/>
  <c r="E154" i="2"/>
  <c r="F154" i="2"/>
  <c r="D143" i="2"/>
  <c r="E143" i="2"/>
  <c r="F143" i="2"/>
  <c r="D144" i="2"/>
  <c r="E144" i="2"/>
  <c r="F144" i="2"/>
  <c r="D153" i="2"/>
  <c r="E153" i="2"/>
  <c r="F153" i="2"/>
  <c r="D149" i="2"/>
  <c r="E149" i="2"/>
  <c r="F149" i="2"/>
  <c r="E110" i="2"/>
  <c r="F110" i="2"/>
  <c r="E124" i="2"/>
  <c r="F124" i="2"/>
  <c r="C169" i="2" l="1"/>
  <c r="C178" i="2"/>
  <c r="C168" i="2"/>
  <c r="C188" i="2"/>
  <c r="C144" i="2"/>
  <c r="C173" i="2"/>
  <c r="C174" i="2"/>
  <c r="C163" i="2"/>
  <c r="C158" i="2"/>
  <c r="C149" i="2"/>
  <c r="C154" i="2"/>
  <c r="C183" i="2"/>
  <c r="T35" i="2" l="1"/>
  <c r="H125" i="2"/>
  <c r="H35" i="2"/>
  <c r="H22" i="2"/>
  <c r="H29" i="2"/>
  <c r="H24" i="2"/>
  <c r="H26" i="2"/>
  <c r="T21" i="2"/>
  <c r="H21" i="2"/>
  <c r="H36" i="2"/>
  <c r="T36" i="2"/>
  <c r="T66" i="2"/>
  <c r="T59" i="2" s="1"/>
  <c r="T32" i="2"/>
  <c r="H57" i="2"/>
  <c r="T19" i="2" l="1"/>
  <c r="E21" i="2"/>
  <c r="G16" i="3"/>
  <c r="P208" i="2" s="1"/>
  <c r="F30" i="3"/>
  <c r="C79" i="1" s="1"/>
  <c r="G15" i="3"/>
  <c r="P202" i="2" s="1"/>
  <c r="P201" i="2" s="1"/>
  <c r="G17" i="3"/>
  <c r="P250" i="2" s="1"/>
  <c r="P249" i="2" s="1"/>
  <c r="G18" i="3"/>
  <c r="G25" i="3"/>
  <c r="P261" i="2" s="1"/>
  <c r="G22" i="3"/>
  <c r="P256" i="2" s="1"/>
  <c r="G23" i="3"/>
  <c r="P239" i="2" s="1"/>
  <c r="P238" i="2" s="1"/>
  <c r="G24" i="3"/>
  <c r="P245" i="2" s="1"/>
  <c r="G21" i="3"/>
  <c r="P229" i="2" s="1"/>
  <c r="G20" i="3"/>
  <c r="P224" i="2" s="1"/>
  <c r="G14" i="3"/>
  <c r="P266" i="2" s="1"/>
  <c r="G19" i="3"/>
  <c r="P219" i="2" s="1"/>
  <c r="G27" i="3"/>
  <c r="P269" i="2" s="1"/>
  <c r="G29" i="3"/>
  <c r="P192" i="2" s="1"/>
  <c r="D192" i="2" s="1"/>
  <c r="G28" i="3"/>
  <c r="D30" i="3"/>
  <c r="C78" i="1" s="1"/>
  <c r="G26" i="3"/>
  <c r="P196" i="2" l="1"/>
  <c r="G30" i="3"/>
  <c r="E30" i="3"/>
  <c r="C77" i="1" s="1"/>
  <c r="C71" i="1" l="1"/>
  <c r="C70" i="1" s="1"/>
  <c r="F275" i="2"/>
  <c r="E275" i="2"/>
  <c r="D275" i="2"/>
  <c r="F272" i="2"/>
  <c r="E272" i="2"/>
  <c r="D272" i="2"/>
  <c r="F269" i="2"/>
  <c r="E269" i="2"/>
  <c r="F266" i="2"/>
  <c r="E266" i="2"/>
  <c r="D266" i="2"/>
  <c r="F263" i="2"/>
  <c r="E263" i="2"/>
  <c r="D263" i="2"/>
  <c r="F261" i="2"/>
  <c r="E261" i="2"/>
  <c r="D261" i="2"/>
  <c r="F258" i="2"/>
  <c r="E258" i="2"/>
  <c r="D258" i="2"/>
  <c r="F256" i="2"/>
  <c r="E256" i="2"/>
  <c r="D256" i="2"/>
  <c r="F253" i="2"/>
  <c r="E253" i="2"/>
  <c r="D253" i="2"/>
  <c r="F250" i="2"/>
  <c r="F249" i="2" s="1"/>
  <c r="E250" i="2"/>
  <c r="E249" i="2" s="1"/>
  <c r="D250" i="2"/>
  <c r="D249" i="2" s="1"/>
  <c r="F247" i="2"/>
  <c r="E247" i="2"/>
  <c r="D247" i="2"/>
  <c r="F245" i="2"/>
  <c r="E245" i="2"/>
  <c r="D245" i="2"/>
  <c r="F242" i="2"/>
  <c r="E242" i="2"/>
  <c r="D242" i="2"/>
  <c r="F239" i="2"/>
  <c r="F238" i="2" s="1"/>
  <c r="E239" i="2"/>
  <c r="E238" i="2" s="1"/>
  <c r="D239" i="2"/>
  <c r="D238" i="2" s="1"/>
  <c r="F236" i="2"/>
  <c r="E236" i="2"/>
  <c r="D236" i="2"/>
  <c r="F234" i="2"/>
  <c r="E234" i="2"/>
  <c r="D234" i="2"/>
  <c r="F231" i="2"/>
  <c r="E231" i="2"/>
  <c r="D231" i="2"/>
  <c r="F229" i="2"/>
  <c r="E229" i="2"/>
  <c r="D229" i="2"/>
  <c r="F226" i="2"/>
  <c r="E226" i="2"/>
  <c r="D226" i="2"/>
  <c r="F224" i="2"/>
  <c r="E224" i="2"/>
  <c r="D224" i="2"/>
  <c r="F221" i="2"/>
  <c r="E221" i="2"/>
  <c r="D221" i="2"/>
  <c r="F219" i="2"/>
  <c r="E219" i="2"/>
  <c r="D219" i="2"/>
  <c r="F216" i="2"/>
  <c r="E216" i="2"/>
  <c r="D216" i="2"/>
  <c r="F213" i="2"/>
  <c r="F212" i="2" s="1"/>
  <c r="E213" i="2"/>
  <c r="E212" i="2" s="1"/>
  <c r="D213" i="2"/>
  <c r="D212" i="2" s="1"/>
  <c r="F210" i="2"/>
  <c r="E210" i="2"/>
  <c r="D210" i="2"/>
  <c r="F208" i="2"/>
  <c r="E208" i="2"/>
  <c r="D208" i="2"/>
  <c r="F205" i="2"/>
  <c r="E205" i="2"/>
  <c r="D205" i="2"/>
  <c r="F202" i="2"/>
  <c r="F201" i="2" s="1"/>
  <c r="E202" i="2"/>
  <c r="E201" i="2" s="1"/>
  <c r="D202" i="2"/>
  <c r="F199" i="2"/>
  <c r="E199" i="2"/>
  <c r="D199" i="2"/>
  <c r="F196" i="2"/>
  <c r="E196" i="2"/>
  <c r="D196" i="2"/>
  <c r="F193" i="2"/>
  <c r="E193" i="2"/>
  <c r="D193" i="2"/>
  <c r="F192" i="2"/>
  <c r="C192" i="2" s="1"/>
  <c r="E192" i="2"/>
  <c r="F189" i="2"/>
  <c r="E189" i="2"/>
  <c r="D189" i="2"/>
  <c r="F187" i="2"/>
  <c r="E187" i="2"/>
  <c r="D187" i="2"/>
  <c r="F184" i="2"/>
  <c r="E184" i="2"/>
  <c r="D184" i="2"/>
  <c r="F182" i="2"/>
  <c r="E182" i="2"/>
  <c r="D182" i="2"/>
  <c r="F179" i="2"/>
  <c r="E179" i="2"/>
  <c r="D179" i="2"/>
  <c r="F177" i="2"/>
  <c r="E177" i="2"/>
  <c r="D177" i="2"/>
  <c r="F172" i="2"/>
  <c r="E172" i="2"/>
  <c r="D172" i="2"/>
  <c r="F167" i="2"/>
  <c r="E167" i="2"/>
  <c r="D167" i="2"/>
  <c r="F164" i="2"/>
  <c r="E164" i="2"/>
  <c r="D164" i="2"/>
  <c r="F162" i="2"/>
  <c r="E162" i="2"/>
  <c r="D162" i="2"/>
  <c r="F159" i="2"/>
  <c r="E159" i="2"/>
  <c r="D159" i="2"/>
  <c r="F157" i="2"/>
  <c r="E157" i="2"/>
  <c r="D157" i="2"/>
  <c r="F150" i="2"/>
  <c r="E150" i="2"/>
  <c r="D150" i="2"/>
  <c r="F148" i="2"/>
  <c r="E148" i="2"/>
  <c r="D148" i="2"/>
  <c r="F145" i="2"/>
  <c r="E145" i="2"/>
  <c r="D145" i="2"/>
  <c r="F139" i="2"/>
  <c r="E139" i="2"/>
  <c r="D139" i="2"/>
  <c r="F138" i="2"/>
  <c r="E138" i="2"/>
  <c r="D138" i="2"/>
  <c r="F135" i="2"/>
  <c r="E135" i="2"/>
  <c r="D135" i="2"/>
  <c r="F133" i="2"/>
  <c r="E133" i="2"/>
  <c r="D133" i="2"/>
  <c r="F127" i="2"/>
  <c r="E127" i="2"/>
  <c r="D127" i="2"/>
  <c r="F130" i="2"/>
  <c r="E130" i="2"/>
  <c r="F121" i="2"/>
  <c r="E121" i="2"/>
  <c r="E126" i="2"/>
  <c r="F117" i="2"/>
  <c r="E117" i="2"/>
  <c r="F125" i="2"/>
  <c r="E125" i="2"/>
  <c r="F129" i="2"/>
  <c r="E129" i="2"/>
  <c r="F122" i="2"/>
  <c r="E122" i="2"/>
  <c r="F128" i="2"/>
  <c r="E128" i="2"/>
  <c r="F109" i="2"/>
  <c r="E109" i="2"/>
  <c r="F108" i="2"/>
  <c r="E108" i="2"/>
  <c r="F112" i="2"/>
  <c r="E112" i="2"/>
  <c r="F107" i="2"/>
  <c r="E107" i="2"/>
  <c r="D107" i="2"/>
  <c r="F105" i="2"/>
  <c r="E105" i="2"/>
  <c r="F93" i="2"/>
  <c r="E93" i="2"/>
  <c r="F97" i="2"/>
  <c r="E97" i="2"/>
  <c r="F92" i="2"/>
  <c r="E92" i="2"/>
  <c r="F89" i="2"/>
  <c r="E89" i="2"/>
  <c r="F86" i="2"/>
  <c r="E86" i="2"/>
  <c r="F85" i="2"/>
  <c r="E85" i="2"/>
  <c r="F84" i="2"/>
  <c r="E84" i="2"/>
  <c r="E90" i="2"/>
  <c r="D90" i="2"/>
  <c r="F88" i="2"/>
  <c r="E88" i="2"/>
  <c r="F80" i="2"/>
  <c r="E80" i="2"/>
  <c r="F79" i="2"/>
  <c r="E79" i="2"/>
  <c r="F81" i="2"/>
  <c r="E81" i="2"/>
  <c r="F75" i="2"/>
  <c r="F74" i="2" s="1"/>
  <c r="E75" i="2"/>
  <c r="E74" i="2" s="1"/>
  <c r="F73" i="2"/>
  <c r="E73" i="2"/>
  <c r="F72" i="2"/>
  <c r="E72" i="2"/>
  <c r="D72" i="2"/>
  <c r="E69" i="2"/>
  <c r="E68" i="2" s="1"/>
  <c r="F63" i="2"/>
  <c r="E63" i="2"/>
  <c r="F62" i="2"/>
  <c r="E62" i="2"/>
  <c r="E66" i="2"/>
  <c r="F64" i="2"/>
  <c r="E64" i="2"/>
  <c r="F60" i="2"/>
  <c r="E60" i="2"/>
  <c r="F65" i="2"/>
  <c r="E65" i="2"/>
  <c r="F58" i="2"/>
  <c r="E58" i="2"/>
  <c r="F57" i="2"/>
  <c r="E57" i="2"/>
  <c r="F55" i="2"/>
  <c r="E55" i="2"/>
  <c r="F51" i="2"/>
  <c r="E51" i="2"/>
  <c r="F53" i="2"/>
  <c r="E53" i="2"/>
  <c r="F52" i="2"/>
  <c r="E52" i="2"/>
  <c r="F49" i="2"/>
  <c r="E49" i="2"/>
  <c r="F47" i="2"/>
  <c r="E47" i="2"/>
  <c r="F48" i="2"/>
  <c r="E48" i="2"/>
  <c r="F44" i="2"/>
  <c r="E44" i="2"/>
  <c r="F45" i="2"/>
  <c r="E45" i="2"/>
  <c r="F41" i="2"/>
  <c r="E41" i="2"/>
  <c r="F40" i="2"/>
  <c r="E40" i="2"/>
  <c r="F42" i="2"/>
  <c r="E42" i="2"/>
  <c r="F33" i="2"/>
  <c r="E33" i="2"/>
  <c r="F28" i="2"/>
  <c r="E28" i="2"/>
  <c r="F27" i="2"/>
  <c r="E27" i="2"/>
  <c r="F23" i="2"/>
  <c r="E23" i="2"/>
  <c r="F22" i="2"/>
  <c r="E22" i="2"/>
  <c r="F21" i="2"/>
  <c r="F24" i="2"/>
  <c r="E24" i="2"/>
  <c r="F26" i="2"/>
  <c r="E26" i="2"/>
  <c r="F35" i="2"/>
  <c r="E35" i="2"/>
  <c r="F36" i="2"/>
  <c r="E36" i="2"/>
  <c r="F37" i="2"/>
  <c r="E37" i="2"/>
  <c r="F34" i="2"/>
  <c r="E34" i="2"/>
  <c r="F25" i="2"/>
  <c r="E25" i="2"/>
  <c r="F30" i="2"/>
  <c r="E30" i="2"/>
  <c r="F29" i="2"/>
  <c r="E29" i="2"/>
  <c r="F20" i="2"/>
  <c r="E20" i="2"/>
  <c r="F38" i="2"/>
  <c r="E38" i="2"/>
  <c r="E31" i="2"/>
  <c r="F32" i="2"/>
  <c r="E32" i="2"/>
  <c r="F17" i="2"/>
  <c r="E17" i="2"/>
  <c r="D17" i="2"/>
  <c r="D201" i="2" l="1"/>
  <c r="C202" i="2"/>
  <c r="C201" i="2" s="1"/>
  <c r="E106" i="2"/>
  <c r="F106" i="2"/>
  <c r="E91" i="2"/>
  <c r="F91" i="2"/>
  <c r="E83" i="2"/>
  <c r="E59" i="2"/>
  <c r="F78" i="2"/>
  <c r="E78" i="2"/>
  <c r="C216" i="2"/>
  <c r="C242" i="2"/>
  <c r="C193" i="2"/>
  <c r="E274" i="2"/>
  <c r="C162" i="2"/>
  <c r="C221" i="2"/>
  <c r="C229" i="2"/>
  <c r="C224" i="2"/>
  <c r="C236" i="2"/>
  <c r="C245" i="2"/>
  <c r="C17" i="2"/>
  <c r="C127" i="2"/>
  <c r="C231" i="2"/>
  <c r="C239" i="2"/>
  <c r="C238" i="2" s="1"/>
  <c r="C167" i="2"/>
  <c r="C184" i="2"/>
  <c r="C219" i="2"/>
  <c r="C143" i="2"/>
  <c r="C157" i="2"/>
  <c r="C189" i="2"/>
  <c r="C226" i="2"/>
  <c r="C234" i="2"/>
  <c r="C247" i="2"/>
  <c r="C210" i="2"/>
  <c r="C135" i="2"/>
  <c r="C182" i="2"/>
  <c r="C187" i="2"/>
  <c r="C196" i="2"/>
  <c r="C205" i="2"/>
  <c r="C213" i="2"/>
  <c r="C212" i="2" s="1"/>
  <c r="C133" i="2"/>
  <c r="C138" i="2"/>
  <c r="C199" i="2"/>
  <c r="C208" i="2"/>
  <c r="C172" i="2"/>
  <c r="C72" i="2"/>
  <c r="C148" i="2"/>
  <c r="C153" i="2"/>
  <c r="C177" i="2"/>
  <c r="C150" i="2"/>
  <c r="C145" i="2"/>
  <c r="C164" i="2"/>
  <c r="C139" i="2"/>
  <c r="C159" i="2"/>
  <c r="C179" i="2"/>
  <c r="C250" i="2"/>
  <c r="C249" i="2" s="1"/>
  <c r="C263" i="2"/>
  <c r="C275" i="2"/>
  <c r="C274" i="2" s="1"/>
  <c r="C107" i="2"/>
  <c r="C266" i="2"/>
  <c r="C258" i="2"/>
  <c r="C253" i="2"/>
  <c r="C261" i="2"/>
  <c r="C256" i="2"/>
  <c r="C272" i="2"/>
  <c r="N195" i="2" l="1"/>
  <c r="M195" i="2"/>
  <c r="P274" i="2"/>
  <c r="L19" i="2"/>
  <c r="L16" i="2" s="1"/>
  <c r="G195" i="2"/>
  <c r="C191" i="2"/>
  <c r="C190" i="2" s="1"/>
  <c r="S195" i="2"/>
  <c r="K274" i="2"/>
  <c r="J19" i="2"/>
  <c r="J16" i="2" s="1"/>
  <c r="J195" i="2"/>
  <c r="H19" i="2"/>
  <c r="O195" i="2"/>
  <c r="I195" i="2"/>
  <c r="I274" i="2"/>
  <c r="I273" i="2" s="1"/>
  <c r="T274" i="2"/>
  <c r="G274" i="2"/>
  <c r="N274" i="2"/>
  <c r="M274" i="2"/>
  <c r="K195" i="2"/>
  <c r="R195" i="2"/>
  <c r="U195" i="2"/>
  <c r="C29" i="1"/>
  <c r="C65" i="1" s="1"/>
  <c r="H16" i="2" l="1"/>
  <c r="F195" i="2"/>
  <c r="J194" i="2"/>
  <c r="K194" i="2"/>
  <c r="H274" i="2"/>
  <c r="S194" i="2"/>
  <c r="L274" i="2"/>
  <c r="L278" i="2" s="1"/>
  <c r="O194" i="2"/>
  <c r="J274" i="2"/>
  <c r="J278" i="2" s="1"/>
  <c r="G194" i="2"/>
  <c r="N194" i="2"/>
  <c r="C22" i="1"/>
  <c r="H278" i="2" l="1"/>
  <c r="F194" i="2"/>
  <c r="C68" i="1"/>
  <c r="C74" i="1" s="1"/>
  <c r="C76" i="1" l="1"/>
  <c r="C80" i="1" s="1"/>
  <c r="C18" i="1"/>
  <c r="C14" i="1"/>
  <c r="C12" i="1" s="1"/>
  <c r="C27" i="1" s="1"/>
  <c r="C66" i="1" l="1"/>
  <c r="C81" i="1" s="1"/>
  <c r="C84" i="1" s="1"/>
  <c r="F16" i="2" l="1"/>
  <c r="U16" i="2"/>
  <c r="F274" i="2"/>
  <c r="S274" i="2"/>
  <c r="U274" i="2"/>
  <c r="D16" i="2" l="1"/>
  <c r="D274" i="2"/>
  <c r="D15" i="2" l="1"/>
  <c r="D273" i="2"/>
  <c r="C273" i="2"/>
  <c r="U194" i="2"/>
  <c r="U15" i="2"/>
  <c r="U273" i="2"/>
  <c r="S273" i="2"/>
  <c r="F46" i="2"/>
  <c r="F281" i="2" s="1"/>
  <c r="U46" i="2"/>
  <c r="U281" i="2" s="1"/>
  <c r="G39" i="2"/>
  <c r="G279" i="2" s="1"/>
  <c r="L15" i="2"/>
  <c r="L273" i="2"/>
  <c r="J15" i="2"/>
  <c r="J273" i="2"/>
  <c r="H15" i="2"/>
  <c r="H273" i="2"/>
  <c r="M194" i="2"/>
  <c r="M273" i="2"/>
  <c r="N273" i="2"/>
  <c r="F15" i="2"/>
  <c r="F273" i="2"/>
  <c r="K273" i="2"/>
  <c r="P273" i="2"/>
  <c r="I194" i="2"/>
  <c r="T273" i="2"/>
  <c r="G273" i="2"/>
  <c r="F39" i="2"/>
  <c r="F56" i="2"/>
  <c r="F284" i="2" s="1"/>
  <c r="C198" i="2"/>
  <c r="C197" i="2" s="1"/>
  <c r="C195" i="2"/>
  <c r="C194" i="2" s="1"/>
  <c r="P46" i="2"/>
  <c r="P281" i="2" s="1"/>
  <c r="H46" i="2"/>
  <c r="H281" i="2" s="1"/>
  <c r="K46" i="2"/>
  <c r="K281" i="2" s="1"/>
  <c r="L46" i="2"/>
  <c r="L281" i="2" s="1"/>
  <c r="E273" i="2"/>
  <c r="J46" i="2"/>
  <c r="J281" i="2" s="1"/>
  <c r="Q46" i="2"/>
  <c r="Q281" i="2" s="1"/>
  <c r="O46" i="2"/>
  <c r="O281" i="2" s="1"/>
  <c r="I46" i="2"/>
  <c r="I281" i="2" s="1"/>
  <c r="F71" i="2"/>
  <c r="F287" i="2" s="1"/>
  <c r="F50" i="2"/>
  <c r="F282" i="2" s="1"/>
  <c r="E46" i="2"/>
  <c r="E281" i="2" s="1"/>
  <c r="M46" i="2"/>
  <c r="M281" i="2" s="1"/>
  <c r="T39" i="2"/>
  <c r="T279" i="2" s="1"/>
  <c r="T56" i="2"/>
  <c r="T284" i="2" s="1"/>
  <c r="T46" i="2"/>
  <c r="T281" i="2" s="1"/>
  <c r="E50" i="2"/>
  <c r="E282" i="2" s="1"/>
  <c r="E39" i="2"/>
  <c r="E279" i="2" s="1"/>
  <c r="U39" i="2"/>
  <c r="U279" i="2" s="1"/>
  <c r="U56" i="2"/>
  <c r="U284" i="2" s="1"/>
  <c r="F54" i="2"/>
  <c r="F283" i="2" s="1"/>
  <c r="E56" i="2"/>
  <c r="E284" i="2" s="1"/>
  <c r="N39" i="2"/>
  <c r="N279" i="2" s="1"/>
  <c r="N56" i="2"/>
  <c r="N284" i="2" s="1"/>
  <c r="N46" i="2"/>
  <c r="N281" i="2" s="1"/>
  <c r="O39" i="2"/>
  <c r="O279" i="2" s="1"/>
  <c r="O56" i="2"/>
  <c r="O284" i="2" s="1"/>
  <c r="R46" i="2"/>
  <c r="R281" i="2" s="1"/>
  <c r="G46" i="2"/>
  <c r="G281" i="2" s="1"/>
  <c r="P39" i="2"/>
  <c r="P279" i="2" s="1"/>
  <c r="P56" i="2"/>
  <c r="P284" i="2" s="1"/>
  <c r="S56" i="2"/>
  <c r="S284" i="2" s="1"/>
  <c r="R39" i="2"/>
  <c r="R279" i="2" s="1"/>
  <c r="R56" i="2"/>
  <c r="R284" i="2" s="1"/>
  <c r="L39" i="2"/>
  <c r="L56" i="2"/>
  <c r="L284" i="2" s="1"/>
  <c r="K39" i="2"/>
  <c r="K279" i="2" s="1"/>
  <c r="K56" i="2"/>
  <c r="K284" i="2" s="1"/>
  <c r="D198" i="2"/>
  <c r="D197" i="2" s="1"/>
  <c r="D195" i="2"/>
  <c r="D194" i="2" s="1"/>
  <c r="F291" i="2"/>
  <c r="D191" i="2"/>
  <c r="E71" i="2"/>
  <c r="E287" i="2" s="1"/>
  <c r="E54" i="2"/>
  <c r="E283" i="2" s="1"/>
  <c r="M39" i="2"/>
  <c r="M279" i="2" s="1"/>
  <c r="M56" i="2"/>
  <c r="M284" i="2" s="1"/>
  <c r="Q39" i="2"/>
  <c r="Q279" i="2" s="1"/>
  <c r="Q56" i="2"/>
  <c r="Q284" i="2" s="1"/>
  <c r="I39" i="2"/>
  <c r="I279" i="2" s="1"/>
  <c r="I56" i="2"/>
  <c r="I284" i="2" s="1"/>
  <c r="H39" i="2"/>
  <c r="H56" i="2"/>
  <c r="H284" i="2" s="1"/>
  <c r="E291" i="2"/>
  <c r="J39" i="2"/>
  <c r="J56" i="2"/>
  <c r="J284" i="2" s="1"/>
  <c r="F43" i="2"/>
  <c r="F280" i="2" s="1"/>
  <c r="E43" i="2"/>
  <c r="E280" i="2" s="1"/>
  <c r="E198" i="2"/>
  <c r="E197" i="2" s="1"/>
  <c r="E195" i="2"/>
  <c r="E194" i="2" s="1"/>
  <c r="F288" i="2"/>
  <c r="E286" i="2"/>
  <c r="E288" i="2"/>
  <c r="P43" i="2"/>
  <c r="P280" i="2" s="1"/>
  <c r="J71" i="2"/>
  <c r="J287" i="2" s="1"/>
  <c r="O291" i="2"/>
  <c r="T43" i="2"/>
  <c r="T280" i="2" s="1"/>
  <c r="O71" i="2"/>
  <c r="O287" i="2" s="1"/>
  <c r="T291" i="2"/>
  <c r="H43" i="2"/>
  <c r="H280" i="2" s="1"/>
  <c r="U50" i="2"/>
  <c r="U282" i="2" s="1"/>
  <c r="T54" i="2"/>
  <c r="T283" i="2" s="1"/>
  <c r="I71" i="2"/>
  <c r="I287" i="2" s="1"/>
  <c r="I286" i="2"/>
  <c r="T71" i="2"/>
  <c r="T287" i="2" s="1"/>
  <c r="M288" i="2"/>
  <c r="I191" i="2"/>
  <c r="H198" i="2"/>
  <c r="H197" i="2" s="1"/>
  <c r="H195" i="2"/>
  <c r="H194" i="2" s="1"/>
  <c r="L198" i="2"/>
  <c r="L197" i="2" s="1"/>
  <c r="L195" i="2"/>
  <c r="L194" i="2" s="1"/>
  <c r="K50" i="2"/>
  <c r="K282" i="2" s="1"/>
  <c r="J54" i="2"/>
  <c r="J283" i="2" s="1"/>
  <c r="P50" i="2"/>
  <c r="P282" i="2" s="1"/>
  <c r="O54" i="2"/>
  <c r="O283" i="2" s="1"/>
  <c r="H288" i="2"/>
  <c r="P198" i="2"/>
  <c r="P197" i="2" s="1"/>
  <c r="L43" i="2"/>
  <c r="L280" i="2" s="1"/>
  <c r="N71" i="2"/>
  <c r="N287" i="2" s="1"/>
  <c r="N286" i="2"/>
  <c r="R288" i="2"/>
  <c r="N191" i="2"/>
  <c r="N190" i="2" s="1"/>
  <c r="J291" i="2"/>
  <c r="M43" i="2"/>
  <c r="M280" i="2" s="1"/>
  <c r="U43" i="2"/>
  <c r="U280" i="2" s="1"/>
  <c r="L50" i="2"/>
  <c r="L282" i="2" s="1"/>
  <c r="J286" i="2"/>
  <c r="K71" i="2"/>
  <c r="K287" i="2" s="1"/>
  <c r="I288" i="2"/>
  <c r="R191" i="2"/>
  <c r="R190" i="2" s="1"/>
  <c r="R194" i="2" s="1"/>
  <c r="R43" i="2"/>
  <c r="R280" i="2" s="1"/>
  <c r="U288" i="2"/>
  <c r="T198" i="2"/>
  <c r="T197" i="2" s="1"/>
  <c r="T195" i="2"/>
  <c r="T194" i="2" s="1"/>
  <c r="I43" i="2"/>
  <c r="I280" i="2" s="1"/>
  <c r="Q43" i="2"/>
  <c r="Q280" i="2" s="1"/>
  <c r="G50" i="2"/>
  <c r="G282" i="2" s="1"/>
  <c r="Q50" i="2"/>
  <c r="Q282" i="2" s="1"/>
  <c r="K54" i="2"/>
  <c r="K283" i="2" s="1"/>
  <c r="P54" i="2"/>
  <c r="P283" i="2" s="1"/>
  <c r="O286" i="2"/>
  <c r="U71" i="2"/>
  <c r="U287" i="2" s="1"/>
  <c r="P71" i="2"/>
  <c r="P287" i="2" s="1"/>
  <c r="N288" i="2"/>
  <c r="T288" i="2"/>
  <c r="J191" i="2"/>
  <c r="J190" i="2" s="1"/>
  <c r="U191" i="2"/>
  <c r="U190" i="2" s="1"/>
  <c r="K291" i="2"/>
  <c r="P291" i="2"/>
  <c r="J43" i="2"/>
  <c r="J280" i="2" s="1"/>
  <c r="N43" i="2"/>
  <c r="N280" i="2" s="1"/>
  <c r="H50" i="2"/>
  <c r="H282" i="2" s="1"/>
  <c r="M50" i="2"/>
  <c r="M282" i="2" s="1"/>
  <c r="L54" i="2"/>
  <c r="L283" i="2" s="1"/>
  <c r="R54" i="2"/>
  <c r="R283" i="2" s="1"/>
  <c r="K286" i="2"/>
  <c r="Q71" i="2"/>
  <c r="Q287" i="2" s="1"/>
  <c r="Q286" i="2"/>
  <c r="G71" i="2"/>
  <c r="G287" i="2" s="1"/>
  <c r="L71" i="2"/>
  <c r="L287" i="2" s="1"/>
  <c r="R71" i="2"/>
  <c r="R287" i="2" s="1"/>
  <c r="J288" i="2"/>
  <c r="P288" i="2"/>
  <c r="Q191" i="2"/>
  <c r="Q190" i="2" s="1"/>
  <c r="P195" i="2"/>
  <c r="P194" i="2" s="1"/>
  <c r="G291" i="2"/>
  <c r="L291" i="2"/>
  <c r="R291" i="2"/>
  <c r="G43" i="2"/>
  <c r="G280" i="2" s="1"/>
  <c r="K43" i="2"/>
  <c r="K280" i="2" s="1"/>
  <c r="O43" i="2"/>
  <c r="O280" i="2" s="1"/>
  <c r="I50" i="2"/>
  <c r="I282" i="2" s="1"/>
  <c r="O50" i="2"/>
  <c r="O282" i="2" s="1"/>
  <c r="T50" i="2"/>
  <c r="T282" i="2" s="1"/>
  <c r="H54" i="2"/>
  <c r="H283" i="2" s="1"/>
  <c r="N54" i="2"/>
  <c r="N283" i="2" s="1"/>
  <c r="S54" i="2"/>
  <c r="S283" i="2" s="1"/>
  <c r="G286" i="2"/>
  <c r="M71" i="2"/>
  <c r="M287" i="2" s="1"/>
  <c r="R286" i="2"/>
  <c r="H71" i="2"/>
  <c r="H287" i="2" s="1"/>
  <c r="L288" i="2"/>
  <c r="Q288" i="2"/>
  <c r="M191" i="2"/>
  <c r="M190" i="2" s="1"/>
  <c r="H291" i="2"/>
  <c r="N291" i="2"/>
  <c r="J50" i="2"/>
  <c r="J282" i="2" s="1"/>
  <c r="N50" i="2"/>
  <c r="N282" i="2" s="1"/>
  <c r="R50" i="2"/>
  <c r="R282" i="2" s="1"/>
  <c r="I54" i="2"/>
  <c r="I283" i="2" s="1"/>
  <c r="M54" i="2"/>
  <c r="M283" i="2" s="1"/>
  <c r="Q54" i="2"/>
  <c r="Q283" i="2" s="1"/>
  <c r="U54" i="2"/>
  <c r="U283" i="2" s="1"/>
  <c r="H286" i="2"/>
  <c r="L286" i="2"/>
  <c r="P286" i="2"/>
  <c r="T286" i="2"/>
  <c r="K288" i="2"/>
  <c r="O288" i="2"/>
  <c r="I291" i="2"/>
  <c r="Q291" i="2"/>
  <c r="U291" i="2"/>
  <c r="J114" i="2"/>
  <c r="G204" i="2"/>
  <c r="E204" i="2"/>
  <c r="F114" i="2"/>
  <c r="D204" i="2"/>
  <c r="G209" i="2"/>
  <c r="D220" i="2"/>
  <c r="D215" i="2"/>
  <c r="D209" i="2"/>
  <c r="O114" i="2"/>
  <c r="G225" i="2"/>
  <c r="G220" i="2"/>
  <c r="G215" i="2"/>
  <c r="C220" i="2"/>
  <c r="C215" i="2"/>
  <c r="C209" i="2"/>
  <c r="C204" i="2"/>
  <c r="F207" i="2"/>
  <c r="E207" i="2"/>
  <c r="J209" i="2"/>
  <c r="J204" i="2"/>
  <c r="O209" i="2"/>
  <c r="O204" i="2"/>
  <c r="K114" i="2"/>
  <c r="G230" i="2"/>
  <c r="F218" i="2"/>
  <c r="E209" i="2"/>
  <c r="F204" i="2"/>
  <c r="E244" i="2"/>
  <c r="E233" i="2"/>
  <c r="E228" i="2"/>
  <c r="E223" i="2"/>
  <c r="E218" i="2"/>
  <c r="D228" i="2"/>
  <c r="D223" i="2"/>
  <c r="D218" i="2"/>
  <c r="D207" i="2"/>
  <c r="T114" i="2"/>
  <c r="O215" i="2"/>
  <c r="G207" i="2"/>
  <c r="K204" i="2"/>
  <c r="G268" i="2"/>
  <c r="G267" i="2" s="1"/>
  <c r="G262" i="2"/>
  <c r="G257" i="2"/>
  <c r="G252" i="2"/>
  <c r="G246" i="2"/>
  <c r="G241" i="2"/>
  <c r="G235" i="2"/>
  <c r="F265" i="2"/>
  <c r="F264" i="2" s="1"/>
  <c r="F260" i="2"/>
  <c r="F255" i="2"/>
  <c r="F244" i="2"/>
  <c r="F233" i="2"/>
  <c r="F228" i="2"/>
  <c r="F223" i="2"/>
  <c r="F252" i="2"/>
  <c r="F246" i="2"/>
  <c r="F241" i="2"/>
  <c r="F235" i="2"/>
  <c r="F230" i="2"/>
  <c r="F225" i="2"/>
  <c r="F220" i="2"/>
  <c r="F215" i="2"/>
  <c r="F209" i="2"/>
  <c r="O241" i="2"/>
  <c r="O235" i="2"/>
  <c r="O230" i="2"/>
  <c r="O225" i="2"/>
  <c r="O220" i="2"/>
  <c r="M207" i="2"/>
  <c r="D262" i="2"/>
  <c r="D257" i="2"/>
  <c r="D252" i="2"/>
  <c r="D246" i="2"/>
  <c r="D241" i="2"/>
  <c r="D235" i="2"/>
  <c r="D230" i="2"/>
  <c r="D225" i="2"/>
  <c r="E265" i="2"/>
  <c r="E264" i="2" s="1"/>
  <c r="E260" i="2"/>
  <c r="E255" i="2"/>
  <c r="D265" i="2"/>
  <c r="D264" i="2" s="1"/>
  <c r="D260" i="2"/>
  <c r="D255" i="2"/>
  <c r="D244" i="2"/>
  <c r="D233" i="2"/>
  <c r="O268" i="2"/>
  <c r="O267" i="2" s="1"/>
  <c r="O262" i="2"/>
  <c r="O257" i="2"/>
  <c r="O252" i="2"/>
  <c r="O246" i="2"/>
  <c r="G228" i="2"/>
  <c r="G223" i="2"/>
  <c r="G218" i="2"/>
  <c r="R114" i="2"/>
  <c r="E252" i="2"/>
  <c r="E246" i="2"/>
  <c r="E241" i="2"/>
  <c r="E235" i="2"/>
  <c r="E230" i="2"/>
  <c r="E225" i="2"/>
  <c r="E220" i="2"/>
  <c r="E215" i="2"/>
  <c r="P233" i="2"/>
  <c r="P228" i="2"/>
  <c r="P223" i="2"/>
  <c r="P218" i="2"/>
  <c r="P207" i="2"/>
  <c r="J268" i="2"/>
  <c r="J267" i="2" s="1"/>
  <c r="J262" i="2"/>
  <c r="J257" i="2"/>
  <c r="J252" i="2"/>
  <c r="J246" i="2"/>
  <c r="J241" i="2"/>
  <c r="J235" i="2"/>
  <c r="J230" i="2"/>
  <c r="J225" i="2"/>
  <c r="J220" i="2"/>
  <c r="J215" i="2"/>
  <c r="K228" i="2"/>
  <c r="K223" i="2"/>
  <c r="K218" i="2"/>
  <c r="K207" i="2"/>
  <c r="Q218" i="2"/>
  <c r="Q207" i="2"/>
  <c r="G233" i="2"/>
  <c r="K209" i="2"/>
  <c r="H228" i="2"/>
  <c r="H223" i="2"/>
  <c r="H218" i="2"/>
  <c r="H207" i="2"/>
  <c r="L204" i="2"/>
  <c r="L114" i="2"/>
  <c r="H204" i="2"/>
  <c r="C262" i="2"/>
  <c r="C257" i="2"/>
  <c r="C252" i="2"/>
  <c r="C246" i="2"/>
  <c r="C241" i="2"/>
  <c r="C235" i="2"/>
  <c r="C230" i="2"/>
  <c r="C225" i="2"/>
  <c r="K265" i="2"/>
  <c r="K264" i="2" s="1"/>
  <c r="K260" i="2"/>
  <c r="K255" i="2"/>
  <c r="K244" i="2"/>
  <c r="K233" i="2"/>
  <c r="M265" i="2"/>
  <c r="M264" i="2" s="1"/>
  <c r="M260" i="2"/>
  <c r="M255" i="2"/>
  <c r="M244" i="2"/>
  <c r="M233" i="2"/>
  <c r="M228" i="2"/>
  <c r="M223" i="2"/>
  <c r="M218" i="2"/>
  <c r="L244" i="2"/>
  <c r="L233" i="2"/>
  <c r="L228" i="2"/>
  <c r="L223" i="2"/>
  <c r="L218" i="2"/>
  <c r="L207" i="2"/>
  <c r="O207" i="2"/>
  <c r="N114" i="2"/>
  <c r="S204" i="2"/>
  <c r="M114" i="2"/>
  <c r="U114" i="2"/>
  <c r="C132" i="2"/>
  <c r="C131" i="2" s="1"/>
  <c r="C271" i="2"/>
  <c r="C270" i="2" s="1"/>
  <c r="C186" i="2"/>
  <c r="C185" i="2" s="1"/>
  <c r="C181" i="2"/>
  <c r="C180" i="2" s="1"/>
  <c r="C176" i="2"/>
  <c r="C175" i="2" s="1"/>
  <c r="C171" i="2"/>
  <c r="C170" i="2" s="1"/>
  <c r="C166" i="2"/>
  <c r="C165" i="2" s="1"/>
  <c r="C161" i="2"/>
  <c r="C160" i="2" s="1"/>
  <c r="C156" i="2"/>
  <c r="C155" i="2" s="1"/>
  <c r="C152" i="2"/>
  <c r="C151" i="2" s="1"/>
  <c r="C147" i="2"/>
  <c r="C146" i="2" s="1"/>
  <c r="C142" i="2"/>
  <c r="C141" i="2" s="1"/>
  <c r="C137" i="2"/>
  <c r="C136" i="2" s="1"/>
  <c r="C265" i="2"/>
  <c r="C264" i="2" s="1"/>
  <c r="C260" i="2"/>
  <c r="C255" i="2"/>
  <c r="C244" i="2"/>
  <c r="C233" i="2"/>
  <c r="C228" i="2"/>
  <c r="C223" i="2"/>
  <c r="C218" i="2"/>
  <c r="C207" i="2"/>
  <c r="D171" i="2"/>
  <c r="D170" i="2" s="1"/>
  <c r="D166" i="2"/>
  <c r="D165" i="2" s="1"/>
  <c r="D161" i="2"/>
  <c r="D160" i="2" s="1"/>
  <c r="D156" i="2"/>
  <c r="D155" i="2" s="1"/>
  <c r="D152" i="2"/>
  <c r="D151" i="2" s="1"/>
  <c r="D147" i="2"/>
  <c r="D146" i="2" s="1"/>
  <c r="D142" i="2"/>
  <c r="D141" i="2" s="1"/>
  <c r="D137" i="2"/>
  <c r="D136" i="2" s="1"/>
  <c r="D132" i="2"/>
  <c r="D131" i="2" s="1"/>
  <c r="D271" i="2"/>
  <c r="D270" i="2" s="1"/>
  <c r="D186" i="2"/>
  <c r="D185" i="2" s="1"/>
  <c r="D181" i="2"/>
  <c r="D180" i="2" s="1"/>
  <c r="D176" i="2"/>
  <c r="D175" i="2" s="1"/>
  <c r="U265" i="2"/>
  <c r="U264" i="2" s="1"/>
  <c r="U260" i="2"/>
  <c r="U255" i="2"/>
  <c r="U244" i="2"/>
  <c r="U233" i="2"/>
  <c r="U228" i="2"/>
  <c r="U223" i="2"/>
  <c r="U218" i="2"/>
  <c r="U207" i="2"/>
  <c r="G265" i="2"/>
  <c r="G264" i="2" s="1"/>
  <c r="G260" i="2"/>
  <c r="G255" i="2"/>
  <c r="G244" i="2"/>
  <c r="L265" i="2"/>
  <c r="L264" i="2" s="1"/>
  <c r="L260" i="2"/>
  <c r="L255" i="2"/>
  <c r="P268" i="2"/>
  <c r="P267" i="2" s="1"/>
  <c r="P262" i="2"/>
  <c r="P257" i="2"/>
  <c r="P252" i="2"/>
  <c r="P246" i="2"/>
  <c r="P241" i="2"/>
  <c r="P235" i="2"/>
  <c r="P230" i="2"/>
  <c r="P225" i="2"/>
  <c r="P220" i="2"/>
  <c r="P215" i="2"/>
  <c r="P209" i="2"/>
  <c r="P204" i="2"/>
  <c r="P114" i="2"/>
  <c r="O228" i="2"/>
  <c r="O223" i="2"/>
  <c r="O218" i="2"/>
  <c r="O244" i="2"/>
  <c r="O233" i="2"/>
  <c r="N209" i="2"/>
  <c r="N204" i="2"/>
  <c r="S215" i="2"/>
  <c r="S209" i="2"/>
  <c r="E137" i="2"/>
  <c r="E136" i="2" s="1"/>
  <c r="E132" i="2"/>
  <c r="E131" i="2" s="1"/>
  <c r="E271" i="2"/>
  <c r="E270" i="2" s="1"/>
  <c r="E186" i="2"/>
  <c r="E185" i="2" s="1"/>
  <c r="E181" i="2"/>
  <c r="E180" i="2" s="1"/>
  <c r="E176" i="2"/>
  <c r="E175" i="2" s="1"/>
  <c r="E171" i="2"/>
  <c r="E170" i="2" s="1"/>
  <c r="E166" i="2"/>
  <c r="E165" i="2" s="1"/>
  <c r="E161" i="2"/>
  <c r="E160" i="2" s="1"/>
  <c r="E156" i="2"/>
  <c r="E155" i="2" s="1"/>
  <c r="E152" i="2"/>
  <c r="E151" i="2" s="1"/>
  <c r="E147" i="2"/>
  <c r="E146" i="2" s="1"/>
  <c r="E142" i="2"/>
  <c r="E141" i="2" s="1"/>
  <c r="E268" i="2"/>
  <c r="E267" i="2" s="1"/>
  <c r="E262" i="2"/>
  <c r="E257" i="2"/>
  <c r="P265" i="2"/>
  <c r="P264" i="2" s="1"/>
  <c r="P260" i="2"/>
  <c r="P255" i="2"/>
  <c r="P244" i="2"/>
  <c r="Q265" i="2"/>
  <c r="Q264" i="2" s="1"/>
  <c r="Q260" i="2"/>
  <c r="Q255" i="2"/>
  <c r="Q244" i="2"/>
  <c r="Q233" i="2"/>
  <c r="Q228" i="2"/>
  <c r="Q223" i="2"/>
  <c r="G171" i="2"/>
  <c r="G170" i="2" s="1"/>
  <c r="G166" i="2"/>
  <c r="G165" i="2" s="1"/>
  <c r="G161" i="2"/>
  <c r="G160" i="2" s="1"/>
  <c r="G156" i="2"/>
  <c r="G155" i="2" s="1"/>
  <c r="G152" i="2"/>
  <c r="G151" i="2" s="1"/>
  <c r="G147" i="2"/>
  <c r="G146" i="2" s="1"/>
  <c r="G142" i="2"/>
  <c r="G141" i="2" s="1"/>
  <c r="G137" i="2"/>
  <c r="G136" i="2" s="1"/>
  <c r="G132" i="2"/>
  <c r="G131" i="2" s="1"/>
  <c r="G271" i="2"/>
  <c r="G270" i="2" s="1"/>
  <c r="G186" i="2"/>
  <c r="G185" i="2" s="1"/>
  <c r="G181" i="2"/>
  <c r="G180" i="2" s="1"/>
  <c r="G176" i="2"/>
  <c r="G175" i="2" s="1"/>
  <c r="K268" i="2"/>
  <c r="K267" i="2" s="1"/>
  <c r="K262" i="2"/>
  <c r="K257" i="2"/>
  <c r="K252" i="2"/>
  <c r="K246" i="2"/>
  <c r="K241" i="2"/>
  <c r="K235" i="2"/>
  <c r="K230" i="2"/>
  <c r="K225" i="2"/>
  <c r="K220" i="2"/>
  <c r="K215" i="2"/>
  <c r="H265" i="2"/>
  <c r="H264" i="2" s="1"/>
  <c r="H260" i="2"/>
  <c r="H255" i="2"/>
  <c r="H244" i="2"/>
  <c r="H233" i="2"/>
  <c r="S252" i="2"/>
  <c r="S246" i="2"/>
  <c r="S241" i="2"/>
  <c r="S235" i="2"/>
  <c r="S230" i="2"/>
  <c r="S225" i="2"/>
  <c r="S220" i="2"/>
  <c r="J207" i="2"/>
  <c r="R207" i="2"/>
  <c r="I209" i="2"/>
  <c r="I204" i="2"/>
  <c r="I114" i="2"/>
  <c r="Q209" i="2"/>
  <c r="Q204" i="2"/>
  <c r="Q114" i="2"/>
  <c r="F137" i="2"/>
  <c r="F136" i="2" s="1"/>
  <c r="F132" i="2"/>
  <c r="F131" i="2" s="1"/>
  <c r="F271" i="2"/>
  <c r="F270" i="2" s="1"/>
  <c r="F186" i="2"/>
  <c r="F185" i="2" s="1"/>
  <c r="F181" i="2"/>
  <c r="F180" i="2" s="1"/>
  <c r="F176" i="2"/>
  <c r="F175" i="2" s="1"/>
  <c r="F171" i="2"/>
  <c r="F170" i="2" s="1"/>
  <c r="F166" i="2"/>
  <c r="F165" i="2" s="1"/>
  <c r="F161" i="2"/>
  <c r="F160" i="2" s="1"/>
  <c r="F156" i="2"/>
  <c r="F155" i="2" s="1"/>
  <c r="F152" i="2"/>
  <c r="F151" i="2" s="1"/>
  <c r="F147" i="2"/>
  <c r="F146" i="2" s="1"/>
  <c r="F142" i="2"/>
  <c r="F141" i="2" s="1"/>
  <c r="F268" i="2"/>
  <c r="F267" i="2" s="1"/>
  <c r="F262" i="2"/>
  <c r="F257" i="2"/>
  <c r="T268" i="2"/>
  <c r="T267" i="2" s="1"/>
  <c r="T262" i="2"/>
  <c r="T257" i="2"/>
  <c r="T252" i="2"/>
  <c r="T246" i="2"/>
  <c r="T241" i="2"/>
  <c r="T235" i="2"/>
  <c r="T230" i="2"/>
  <c r="T225" i="2"/>
  <c r="T220" i="2"/>
  <c r="T215" i="2"/>
  <c r="T209" i="2"/>
  <c r="T204" i="2"/>
  <c r="K171" i="2"/>
  <c r="K170" i="2" s="1"/>
  <c r="K166" i="2"/>
  <c r="K165" i="2" s="1"/>
  <c r="K161" i="2"/>
  <c r="K160" i="2" s="1"/>
  <c r="K156" i="2"/>
  <c r="K155" i="2" s="1"/>
  <c r="K152" i="2"/>
  <c r="K151" i="2" s="1"/>
  <c r="K147" i="2"/>
  <c r="K146" i="2" s="1"/>
  <c r="K142" i="2"/>
  <c r="K141" i="2" s="1"/>
  <c r="K137" i="2"/>
  <c r="K136" i="2" s="1"/>
  <c r="K132" i="2"/>
  <c r="K131" i="2" s="1"/>
  <c r="K271" i="2"/>
  <c r="K270" i="2" s="1"/>
  <c r="K186" i="2"/>
  <c r="K185" i="2" s="1"/>
  <c r="K181" i="2"/>
  <c r="K180" i="2" s="1"/>
  <c r="K176" i="2"/>
  <c r="K175" i="2" s="1"/>
  <c r="P142" i="2"/>
  <c r="P141" i="2" s="1"/>
  <c r="P137" i="2"/>
  <c r="P136" i="2" s="1"/>
  <c r="P132" i="2"/>
  <c r="P131" i="2" s="1"/>
  <c r="P271" i="2"/>
  <c r="P270" i="2" s="1"/>
  <c r="P186" i="2"/>
  <c r="P185" i="2" s="1"/>
  <c r="P181" i="2"/>
  <c r="P180" i="2" s="1"/>
  <c r="P176" i="2"/>
  <c r="P175" i="2" s="1"/>
  <c r="P171" i="2"/>
  <c r="P170" i="2" s="1"/>
  <c r="P166" i="2"/>
  <c r="P165" i="2" s="1"/>
  <c r="P161" i="2"/>
  <c r="P160" i="2" s="1"/>
  <c r="P156" i="2"/>
  <c r="P155" i="2" s="1"/>
  <c r="P152" i="2"/>
  <c r="P151" i="2" s="1"/>
  <c r="P147" i="2"/>
  <c r="P146" i="2" s="1"/>
  <c r="S265" i="2"/>
  <c r="S264" i="2" s="1"/>
  <c r="S260" i="2"/>
  <c r="S255" i="2"/>
  <c r="S244" i="2"/>
  <c r="S233" i="2"/>
  <c r="S228" i="2"/>
  <c r="S223" i="2"/>
  <c r="S218" i="2"/>
  <c r="S207" i="2"/>
  <c r="L137" i="2"/>
  <c r="L136" i="2" s="1"/>
  <c r="L132" i="2"/>
  <c r="L131" i="2" s="1"/>
  <c r="L271" i="2"/>
  <c r="L270" i="2" s="1"/>
  <c r="L186" i="2"/>
  <c r="L185" i="2" s="1"/>
  <c r="L181" i="2"/>
  <c r="L180" i="2" s="1"/>
  <c r="L176" i="2"/>
  <c r="L175" i="2" s="1"/>
  <c r="L171" i="2"/>
  <c r="L170" i="2" s="1"/>
  <c r="L166" i="2"/>
  <c r="L165" i="2" s="1"/>
  <c r="L161" i="2"/>
  <c r="L160" i="2" s="1"/>
  <c r="L156" i="2"/>
  <c r="L155" i="2" s="1"/>
  <c r="L152" i="2"/>
  <c r="L151" i="2" s="1"/>
  <c r="L147" i="2"/>
  <c r="L146" i="2" s="1"/>
  <c r="L142" i="2"/>
  <c r="L141" i="2" s="1"/>
  <c r="L268" i="2"/>
  <c r="L267" i="2" s="1"/>
  <c r="L262" i="2"/>
  <c r="L257" i="2"/>
  <c r="L252" i="2"/>
  <c r="L246" i="2"/>
  <c r="L241" i="2"/>
  <c r="L235" i="2"/>
  <c r="L230" i="2"/>
  <c r="L225" i="2"/>
  <c r="L220" i="2"/>
  <c r="L215" i="2"/>
  <c r="L209" i="2"/>
  <c r="R268" i="2"/>
  <c r="R267" i="2" s="1"/>
  <c r="R262" i="2"/>
  <c r="R257" i="2"/>
  <c r="R252" i="2"/>
  <c r="R246" i="2"/>
  <c r="R241" i="2"/>
  <c r="R235" i="2"/>
  <c r="R230" i="2"/>
  <c r="R225" i="2"/>
  <c r="R220" i="2"/>
  <c r="R215" i="2"/>
  <c r="R209" i="2"/>
  <c r="R204" i="2"/>
  <c r="I265" i="2"/>
  <c r="I264" i="2" s="1"/>
  <c r="I260" i="2"/>
  <c r="I255" i="2"/>
  <c r="I244" i="2"/>
  <c r="I233" i="2"/>
  <c r="I228" i="2"/>
  <c r="I223" i="2"/>
  <c r="I218" i="2"/>
  <c r="I207" i="2"/>
  <c r="O132" i="2"/>
  <c r="O131" i="2" s="1"/>
  <c r="O271" i="2"/>
  <c r="O270" i="2" s="1"/>
  <c r="O186" i="2"/>
  <c r="O185" i="2" s="1"/>
  <c r="O181" i="2"/>
  <c r="O180" i="2" s="1"/>
  <c r="O176" i="2"/>
  <c r="O175" i="2" s="1"/>
  <c r="O171" i="2"/>
  <c r="O170" i="2" s="1"/>
  <c r="O166" i="2"/>
  <c r="O165" i="2" s="1"/>
  <c r="O161" i="2"/>
  <c r="O160" i="2" s="1"/>
  <c r="O156" i="2"/>
  <c r="O155" i="2" s="1"/>
  <c r="O152" i="2"/>
  <c r="O151" i="2" s="1"/>
  <c r="O147" i="2"/>
  <c r="O146" i="2" s="1"/>
  <c r="O142" i="2"/>
  <c r="O141" i="2" s="1"/>
  <c r="O137" i="2"/>
  <c r="O136" i="2" s="1"/>
  <c r="O265" i="2"/>
  <c r="O264" i="2" s="1"/>
  <c r="O260" i="2"/>
  <c r="O255" i="2"/>
  <c r="T223" i="2"/>
  <c r="T218" i="2"/>
  <c r="T207" i="2"/>
  <c r="T132" i="2"/>
  <c r="T131" i="2" s="1"/>
  <c r="T271" i="2"/>
  <c r="T270" i="2" s="1"/>
  <c r="T186" i="2"/>
  <c r="T185" i="2" s="1"/>
  <c r="T181" i="2"/>
  <c r="T180" i="2" s="1"/>
  <c r="T176" i="2"/>
  <c r="T175" i="2" s="1"/>
  <c r="T171" i="2"/>
  <c r="T170" i="2" s="1"/>
  <c r="T166" i="2"/>
  <c r="T165" i="2" s="1"/>
  <c r="T161" i="2"/>
  <c r="T160" i="2" s="1"/>
  <c r="T156" i="2"/>
  <c r="T155" i="2" s="1"/>
  <c r="T152" i="2"/>
  <c r="T151" i="2" s="1"/>
  <c r="T147" i="2"/>
  <c r="T146" i="2" s="1"/>
  <c r="T142" i="2"/>
  <c r="T141" i="2" s="1"/>
  <c r="T137" i="2"/>
  <c r="T136" i="2" s="1"/>
  <c r="T265" i="2"/>
  <c r="T264" i="2" s="1"/>
  <c r="T260" i="2"/>
  <c r="T255" i="2"/>
  <c r="T244" i="2"/>
  <c r="T233" i="2"/>
  <c r="T228" i="2"/>
  <c r="H137" i="2"/>
  <c r="H136" i="2" s="1"/>
  <c r="H132" i="2"/>
  <c r="H131" i="2" s="1"/>
  <c r="H271" i="2"/>
  <c r="H270" i="2" s="1"/>
  <c r="H186" i="2"/>
  <c r="H185" i="2" s="1"/>
  <c r="H181" i="2"/>
  <c r="H180" i="2" s="1"/>
  <c r="H176" i="2"/>
  <c r="H175" i="2" s="1"/>
  <c r="H171" i="2"/>
  <c r="H170" i="2" s="1"/>
  <c r="H166" i="2"/>
  <c r="H165" i="2" s="1"/>
  <c r="H161" i="2"/>
  <c r="H160" i="2" s="1"/>
  <c r="H156" i="2"/>
  <c r="H155" i="2" s="1"/>
  <c r="H152" i="2"/>
  <c r="H151" i="2" s="1"/>
  <c r="H147" i="2"/>
  <c r="H146" i="2" s="1"/>
  <c r="H142" i="2"/>
  <c r="H141" i="2" s="1"/>
  <c r="H268" i="2"/>
  <c r="H267" i="2" s="1"/>
  <c r="H262" i="2"/>
  <c r="H257" i="2"/>
  <c r="H252" i="2"/>
  <c r="H246" i="2"/>
  <c r="H241" i="2"/>
  <c r="H235" i="2"/>
  <c r="H230" i="2"/>
  <c r="H225" i="2"/>
  <c r="H220" i="2"/>
  <c r="H215" i="2"/>
  <c r="H209" i="2"/>
  <c r="N268" i="2"/>
  <c r="N267" i="2" s="1"/>
  <c r="N262" i="2"/>
  <c r="N257" i="2"/>
  <c r="N252" i="2"/>
  <c r="N246" i="2"/>
  <c r="N241" i="2"/>
  <c r="N235" i="2"/>
  <c r="N230" i="2"/>
  <c r="N225" i="2"/>
  <c r="N220" i="2"/>
  <c r="N215" i="2"/>
  <c r="S137" i="2"/>
  <c r="S136" i="2" s="1"/>
  <c r="S132" i="2"/>
  <c r="S131" i="2" s="1"/>
  <c r="S271" i="2"/>
  <c r="S270" i="2" s="1"/>
  <c r="S186" i="2"/>
  <c r="S185" i="2" s="1"/>
  <c r="S181" i="2"/>
  <c r="S180" i="2" s="1"/>
  <c r="S176" i="2"/>
  <c r="S175" i="2" s="1"/>
  <c r="S171" i="2"/>
  <c r="S170" i="2" s="1"/>
  <c r="S166" i="2"/>
  <c r="S165" i="2" s="1"/>
  <c r="S161" i="2"/>
  <c r="S160" i="2" s="1"/>
  <c r="S156" i="2"/>
  <c r="S155" i="2" s="1"/>
  <c r="S152" i="2"/>
  <c r="S151" i="2" s="1"/>
  <c r="S147" i="2"/>
  <c r="S146" i="2" s="1"/>
  <c r="S142" i="2"/>
  <c r="S141" i="2" s="1"/>
  <c r="S262" i="2"/>
  <c r="S257" i="2"/>
  <c r="J132" i="2"/>
  <c r="J131" i="2" s="1"/>
  <c r="J271" i="2"/>
  <c r="J270" i="2" s="1"/>
  <c r="J186" i="2"/>
  <c r="J185" i="2" s="1"/>
  <c r="J181" i="2"/>
  <c r="J180" i="2" s="1"/>
  <c r="J176" i="2"/>
  <c r="J175" i="2" s="1"/>
  <c r="J171" i="2"/>
  <c r="J170" i="2" s="1"/>
  <c r="J166" i="2"/>
  <c r="J165" i="2" s="1"/>
  <c r="J161" i="2"/>
  <c r="J160" i="2" s="1"/>
  <c r="J156" i="2"/>
  <c r="J155" i="2" s="1"/>
  <c r="J152" i="2"/>
  <c r="J151" i="2" s="1"/>
  <c r="J147" i="2"/>
  <c r="J146" i="2" s="1"/>
  <c r="J142" i="2"/>
  <c r="J141" i="2" s="1"/>
  <c r="J137" i="2"/>
  <c r="J136" i="2" s="1"/>
  <c r="J265" i="2"/>
  <c r="J264" i="2" s="1"/>
  <c r="J260" i="2"/>
  <c r="J255" i="2"/>
  <c r="J244" i="2"/>
  <c r="J233" i="2"/>
  <c r="J228" i="2"/>
  <c r="J223" i="2"/>
  <c r="J218" i="2"/>
  <c r="N132" i="2"/>
  <c r="N131" i="2" s="1"/>
  <c r="N271" i="2"/>
  <c r="N270" i="2" s="1"/>
  <c r="N186" i="2"/>
  <c r="N185" i="2" s="1"/>
  <c r="N181" i="2"/>
  <c r="N180" i="2" s="1"/>
  <c r="N176" i="2"/>
  <c r="N175" i="2" s="1"/>
  <c r="N171" i="2"/>
  <c r="N170" i="2" s="1"/>
  <c r="N166" i="2"/>
  <c r="N165" i="2" s="1"/>
  <c r="N161" i="2"/>
  <c r="N160" i="2" s="1"/>
  <c r="N156" i="2"/>
  <c r="N155" i="2" s="1"/>
  <c r="N152" i="2"/>
  <c r="N151" i="2" s="1"/>
  <c r="N147" i="2"/>
  <c r="N146" i="2" s="1"/>
  <c r="N142" i="2"/>
  <c r="N141" i="2" s="1"/>
  <c r="N137" i="2"/>
  <c r="N136" i="2" s="1"/>
  <c r="N265" i="2"/>
  <c r="N264" i="2" s="1"/>
  <c r="N260" i="2"/>
  <c r="N255" i="2"/>
  <c r="N244" i="2"/>
  <c r="N233" i="2"/>
  <c r="N228" i="2"/>
  <c r="N223" i="2"/>
  <c r="N218" i="2"/>
  <c r="N207" i="2"/>
  <c r="R132" i="2"/>
  <c r="R131" i="2" s="1"/>
  <c r="R271" i="2"/>
  <c r="R270" i="2" s="1"/>
  <c r="R186" i="2"/>
  <c r="R185" i="2" s="1"/>
  <c r="R181" i="2"/>
  <c r="R180" i="2" s="1"/>
  <c r="R176" i="2"/>
  <c r="R175" i="2" s="1"/>
  <c r="R171" i="2"/>
  <c r="R170" i="2" s="1"/>
  <c r="R166" i="2"/>
  <c r="R165" i="2" s="1"/>
  <c r="R161" i="2"/>
  <c r="R160" i="2" s="1"/>
  <c r="R156" i="2"/>
  <c r="R155" i="2" s="1"/>
  <c r="R152" i="2"/>
  <c r="R151" i="2" s="1"/>
  <c r="R147" i="2"/>
  <c r="R146" i="2" s="1"/>
  <c r="R142" i="2"/>
  <c r="R141" i="2" s="1"/>
  <c r="R137" i="2"/>
  <c r="R136" i="2" s="1"/>
  <c r="R265" i="2"/>
  <c r="R264" i="2" s="1"/>
  <c r="R260" i="2"/>
  <c r="R255" i="2"/>
  <c r="R244" i="2"/>
  <c r="R233" i="2"/>
  <c r="R228" i="2"/>
  <c r="R223" i="2"/>
  <c r="R218" i="2"/>
  <c r="I137" i="2"/>
  <c r="I136" i="2" s="1"/>
  <c r="I132" i="2"/>
  <c r="I131" i="2" s="1"/>
  <c r="I271" i="2"/>
  <c r="I270" i="2" s="1"/>
  <c r="I186" i="2"/>
  <c r="I185" i="2" s="1"/>
  <c r="I181" i="2"/>
  <c r="I180" i="2" s="1"/>
  <c r="I176" i="2"/>
  <c r="I175" i="2" s="1"/>
  <c r="I171" i="2"/>
  <c r="I170" i="2" s="1"/>
  <c r="I166" i="2"/>
  <c r="I165" i="2" s="1"/>
  <c r="I161" i="2"/>
  <c r="I160" i="2" s="1"/>
  <c r="I156" i="2"/>
  <c r="I155" i="2" s="1"/>
  <c r="I152" i="2"/>
  <c r="I151" i="2" s="1"/>
  <c r="I147" i="2"/>
  <c r="I146" i="2" s="1"/>
  <c r="I142" i="2"/>
  <c r="I141" i="2" s="1"/>
  <c r="I268" i="2"/>
  <c r="I267" i="2" s="1"/>
  <c r="I262" i="2"/>
  <c r="I257" i="2"/>
  <c r="I252" i="2"/>
  <c r="I246" i="2"/>
  <c r="I241" i="2"/>
  <c r="I235" i="2"/>
  <c r="I230" i="2"/>
  <c r="I225" i="2"/>
  <c r="I220" i="2"/>
  <c r="I215" i="2"/>
  <c r="M137" i="2"/>
  <c r="M136" i="2" s="1"/>
  <c r="M132" i="2"/>
  <c r="M131" i="2" s="1"/>
  <c r="M271" i="2"/>
  <c r="M270" i="2" s="1"/>
  <c r="M186" i="2"/>
  <c r="M185" i="2" s="1"/>
  <c r="M181" i="2"/>
  <c r="M180" i="2" s="1"/>
  <c r="M176" i="2"/>
  <c r="M175" i="2" s="1"/>
  <c r="M171" i="2"/>
  <c r="M170" i="2" s="1"/>
  <c r="M166" i="2"/>
  <c r="M165" i="2" s="1"/>
  <c r="M161" i="2"/>
  <c r="M160" i="2" s="1"/>
  <c r="M156" i="2"/>
  <c r="M155" i="2" s="1"/>
  <c r="M152" i="2"/>
  <c r="M151" i="2" s="1"/>
  <c r="M147" i="2"/>
  <c r="M146" i="2" s="1"/>
  <c r="M142" i="2"/>
  <c r="M141" i="2" s="1"/>
  <c r="M268" i="2"/>
  <c r="M267" i="2" s="1"/>
  <c r="M262" i="2"/>
  <c r="M257" i="2"/>
  <c r="M252" i="2"/>
  <c r="M246" i="2"/>
  <c r="M241" i="2"/>
  <c r="M235" i="2"/>
  <c r="M230" i="2"/>
  <c r="M225" i="2"/>
  <c r="M220" i="2"/>
  <c r="M215" i="2"/>
  <c r="M209" i="2"/>
  <c r="M204" i="2"/>
  <c r="Q137" i="2"/>
  <c r="Q136" i="2" s="1"/>
  <c r="Q132" i="2"/>
  <c r="Q131" i="2" s="1"/>
  <c r="Q271" i="2"/>
  <c r="Q270" i="2" s="1"/>
  <c r="Q186" i="2"/>
  <c r="Q185" i="2" s="1"/>
  <c r="Q181" i="2"/>
  <c r="Q180" i="2" s="1"/>
  <c r="Q176" i="2"/>
  <c r="Q175" i="2" s="1"/>
  <c r="Q171" i="2"/>
  <c r="Q170" i="2" s="1"/>
  <c r="Q166" i="2"/>
  <c r="Q165" i="2" s="1"/>
  <c r="Q161" i="2"/>
  <c r="Q160" i="2" s="1"/>
  <c r="Q156" i="2"/>
  <c r="Q155" i="2" s="1"/>
  <c r="Q152" i="2"/>
  <c r="Q151" i="2" s="1"/>
  <c r="Q147" i="2"/>
  <c r="Q146" i="2" s="1"/>
  <c r="Q142" i="2"/>
  <c r="Q141" i="2" s="1"/>
  <c r="Q268" i="2"/>
  <c r="Q267" i="2" s="1"/>
  <c r="Q262" i="2"/>
  <c r="Q257" i="2"/>
  <c r="Q252" i="2"/>
  <c r="Q246" i="2"/>
  <c r="Q241" i="2"/>
  <c r="Q235" i="2"/>
  <c r="Q230" i="2"/>
  <c r="Q225" i="2"/>
  <c r="Q220" i="2"/>
  <c r="Q215" i="2"/>
  <c r="U137" i="2"/>
  <c r="U136" i="2" s="1"/>
  <c r="U132" i="2"/>
  <c r="U131" i="2" s="1"/>
  <c r="U271" i="2"/>
  <c r="U270" i="2" s="1"/>
  <c r="U186" i="2"/>
  <c r="U185" i="2" s="1"/>
  <c r="U181" i="2"/>
  <c r="U180" i="2" s="1"/>
  <c r="U176" i="2"/>
  <c r="U175" i="2" s="1"/>
  <c r="U171" i="2"/>
  <c r="U170" i="2" s="1"/>
  <c r="U166" i="2"/>
  <c r="U165" i="2" s="1"/>
  <c r="U161" i="2"/>
  <c r="U160" i="2" s="1"/>
  <c r="U156" i="2"/>
  <c r="U155" i="2" s="1"/>
  <c r="U152" i="2"/>
  <c r="U151" i="2" s="1"/>
  <c r="U147" i="2"/>
  <c r="U146" i="2" s="1"/>
  <c r="U142" i="2"/>
  <c r="U141" i="2" s="1"/>
  <c r="U268" i="2"/>
  <c r="U267" i="2" s="1"/>
  <c r="U262" i="2"/>
  <c r="U257" i="2"/>
  <c r="U252" i="2"/>
  <c r="U246" i="2"/>
  <c r="U241" i="2"/>
  <c r="U235" i="2"/>
  <c r="U230" i="2"/>
  <c r="U225" i="2"/>
  <c r="U220" i="2"/>
  <c r="U215" i="2"/>
  <c r="U209" i="2"/>
  <c r="U204" i="2"/>
  <c r="D217" i="2" l="1"/>
  <c r="D211" i="2"/>
  <c r="D200" i="2"/>
  <c r="O206" i="2"/>
  <c r="O200" i="2"/>
  <c r="F206" i="2"/>
  <c r="U206" i="2"/>
  <c r="N206" i="2"/>
  <c r="T243" i="2"/>
  <c r="T206" i="2"/>
  <c r="R206" i="2"/>
  <c r="H206" i="2"/>
  <c r="M206" i="2"/>
  <c r="M200" i="2"/>
  <c r="F200" i="2"/>
  <c r="E200" i="2"/>
  <c r="S200" i="2"/>
  <c r="U200" i="2"/>
  <c r="L206" i="2"/>
  <c r="I200" i="2"/>
  <c r="Q200" i="2"/>
  <c r="K206" i="2"/>
  <c r="I206" i="2"/>
  <c r="S206" i="2"/>
  <c r="J200" i="2"/>
  <c r="L200" i="2"/>
  <c r="Q206" i="2"/>
  <c r="P200" i="2"/>
  <c r="K200" i="2"/>
  <c r="G206" i="2"/>
  <c r="N200" i="2"/>
  <c r="T200" i="2"/>
  <c r="R200" i="2"/>
  <c r="J206" i="2"/>
  <c r="H200" i="2"/>
  <c r="P206" i="2"/>
  <c r="E206" i="2"/>
  <c r="G200" i="2"/>
  <c r="D206" i="2"/>
  <c r="T227" i="2"/>
  <c r="T248" i="2"/>
  <c r="P259" i="2"/>
  <c r="T254" i="2"/>
  <c r="T237" i="2"/>
  <c r="T259" i="2"/>
  <c r="T232" i="2"/>
  <c r="J227" i="2"/>
  <c r="J248" i="2"/>
  <c r="T222" i="2"/>
  <c r="S227" i="2"/>
  <c r="S248" i="2"/>
  <c r="G254" i="2"/>
  <c r="C206" i="2"/>
  <c r="D237" i="2"/>
  <c r="D259" i="2"/>
  <c r="J289" i="2"/>
  <c r="S217" i="2"/>
  <c r="S237" i="2"/>
  <c r="K232" i="2"/>
  <c r="O248" i="2"/>
  <c r="G243" i="2"/>
  <c r="N254" i="2"/>
  <c r="C237" i="2"/>
  <c r="C259" i="2"/>
  <c r="C200" i="2"/>
  <c r="G232" i="2"/>
  <c r="G211" i="2"/>
  <c r="E232" i="2"/>
  <c r="J232" i="2"/>
  <c r="P254" i="2"/>
  <c r="L237" i="2"/>
  <c r="C217" i="2"/>
  <c r="L290" i="2"/>
  <c r="R237" i="2"/>
  <c r="R259" i="2"/>
  <c r="N222" i="2"/>
  <c r="N243" i="2"/>
  <c r="J237" i="2"/>
  <c r="L293" i="2"/>
  <c r="I293" i="2"/>
  <c r="H237" i="2"/>
  <c r="H259" i="2"/>
  <c r="P237" i="2"/>
  <c r="O237" i="2"/>
  <c r="O217" i="2"/>
  <c r="C227" i="2"/>
  <c r="C248" i="2"/>
  <c r="G222" i="2"/>
  <c r="E259" i="2"/>
  <c r="F222" i="2"/>
  <c r="F243" i="2"/>
  <c r="E290" i="2"/>
  <c r="J211" i="2"/>
  <c r="J254" i="2"/>
  <c r="Q243" i="2"/>
  <c r="R222" i="2"/>
  <c r="R243" i="2"/>
  <c r="O243" i="2"/>
  <c r="O222" i="2"/>
  <c r="G237" i="2"/>
  <c r="G259" i="2"/>
  <c r="C211" i="2"/>
  <c r="F227" i="2"/>
  <c r="F248" i="2"/>
  <c r="M289" i="2"/>
  <c r="P290" i="2"/>
  <c r="Q293" i="2"/>
  <c r="N227" i="2"/>
  <c r="N248" i="2"/>
  <c r="J222" i="2"/>
  <c r="J243" i="2"/>
  <c r="O254" i="2"/>
  <c r="S232" i="2"/>
  <c r="H243" i="2"/>
  <c r="G285" i="2"/>
  <c r="Q232" i="2"/>
  <c r="Q254" i="2"/>
  <c r="L227" i="2"/>
  <c r="K243" i="2"/>
  <c r="H211" i="2"/>
  <c r="P292" i="2"/>
  <c r="P217" i="2"/>
  <c r="O292" i="2"/>
  <c r="G227" i="2"/>
  <c r="D243" i="2"/>
  <c r="M211" i="2"/>
  <c r="U289" i="2"/>
  <c r="N289" i="2"/>
  <c r="M292" i="2"/>
  <c r="R227" i="2"/>
  <c r="R248" i="2"/>
  <c r="S259" i="2"/>
  <c r="K285" i="2"/>
  <c r="K293" i="2"/>
  <c r="U211" i="2"/>
  <c r="U232" i="2"/>
  <c r="U254" i="2"/>
  <c r="U293" i="2"/>
  <c r="H292" i="2"/>
  <c r="P222" i="2"/>
  <c r="E248" i="2"/>
  <c r="T290" i="2"/>
  <c r="T293" i="2"/>
  <c r="F293" i="2"/>
  <c r="M293" i="2"/>
  <c r="T217" i="2"/>
  <c r="S222" i="2"/>
  <c r="S243" i="2"/>
  <c r="O211" i="2"/>
  <c r="L259" i="2"/>
  <c r="G248" i="2"/>
  <c r="C222" i="2"/>
  <c r="C243" i="2"/>
  <c r="M227" i="2"/>
  <c r="H222" i="2"/>
  <c r="Q211" i="2"/>
  <c r="J259" i="2"/>
  <c r="P227" i="2"/>
  <c r="G217" i="2"/>
  <c r="D232" i="2"/>
  <c r="D254" i="2"/>
  <c r="E254" i="2"/>
  <c r="D227" i="2"/>
  <c r="R289" i="2"/>
  <c r="Q289" i="2"/>
  <c r="N293" i="2"/>
  <c r="P293" i="2"/>
  <c r="N285" i="2"/>
  <c r="J285" i="2"/>
  <c r="H285" i="2"/>
  <c r="L285" i="2"/>
  <c r="E285" i="2"/>
  <c r="J293" i="2"/>
  <c r="R293" i="2"/>
  <c r="O293" i="2"/>
  <c r="I285" i="2"/>
  <c r="R292" i="2"/>
  <c r="T285" i="2"/>
  <c r="O285" i="2"/>
  <c r="I227" i="2"/>
  <c r="I292" i="2"/>
  <c r="L232" i="2"/>
  <c r="M243" i="2"/>
  <c r="K217" i="2"/>
  <c r="E211" i="2"/>
  <c r="M285" i="2"/>
  <c r="R211" i="2"/>
  <c r="R232" i="2"/>
  <c r="R254" i="2"/>
  <c r="R285" i="2"/>
  <c r="N292" i="2"/>
  <c r="T211" i="2"/>
  <c r="O259" i="2"/>
  <c r="I211" i="2"/>
  <c r="I232" i="2"/>
  <c r="I254" i="2"/>
  <c r="Q237" i="2"/>
  <c r="Q259" i="2"/>
  <c r="P243" i="2"/>
  <c r="O227" i="2"/>
  <c r="L248" i="2"/>
  <c r="L292" i="2"/>
  <c r="U217" i="2"/>
  <c r="U237" i="2"/>
  <c r="U259" i="2"/>
  <c r="C232" i="2"/>
  <c r="C254" i="2"/>
  <c r="L217" i="2"/>
  <c r="M248" i="2"/>
  <c r="K248" i="2"/>
  <c r="K292" i="2"/>
  <c r="H227" i="2"/>
  <c r="Q217" i="2"/>
  <c r="K222" i="2"/>
  <c r="F232" i="2"/>
  <c r="F254" i="2"/>
  <c r="E217" i="2"/>
  <c r="E237" i="2"/>
  <c r="H279" i="2"/>
  <c r="D190" i="2"/>
  <c r="Q285" i="2"/>
  <c r="I248" i="2"/>
  <c r="L211" i="2"/>
  <c r="M222" i="2"/>
  <c r="F292" i="2"/>
  <c r="R217" i="2"/>
  <c r="N211" i="2"/>
  <c r="N232" i="2"/>
  <c r="J217" i="2"/>
  <c r="I217" i="2"/>
  <c r="I237" i="2"/>
  <c r="I259" i="2"/>
  <c r="S211" i="2"/>
  <c r="S254" i="2"/>
  <c r="H248" i="2"/>
  <c r="Q222" i="2"/>
  <c r="P248" i="2"/>
  <c r="O232" i="2"/>
  <c r="L254" i="2"/>
  <c r="U222" i="2"/>
  <c r="U243" i="2"/>
  <c r="L222" i="2"/>
  <c r="L243" i="2"/>
  <c r="M232" i="2"/>
  <c r="M254" i="2"/>
  <c r="K254" i="2"/>
  <c r="K227" i="2"/>
  <c r="P211" i="2"/>
  <c r="P232" i="2"/>
  <c r="D248" i="2"/>
  <c r="F237" i="2"/>
  <c r="F259" i="2"/>
  <c r="E222" i="2"/>
  <c r="E243" i="2"/>
  <c r="H290" i="2"/>
  <c r="I190" i="2"/>
  <c r="I289" i="2"/>
  <c r="N217" i="2"/>
  <c r="N237" i="2"/>
  <c r="N259" i="2"/>
  <c r="T292" i="2"/>
  <c r="I222" i="2"/>
  <c r="I243" i="2"/>
  <c r="H232" i="2"/>
  <c r="H254" i="2"/>
  <c r="Q227" i="2"/>
  <c r="Q248" i="2"/>
  <c r="Q292" i="2"/>
  <c r="U227" i="2"/>
  <c r="U248" i="2"/>
  <c r="U292" i="2"/>
  <c r="M217" i="2"/>
  <c r="M237" i="2"/>
  <c r="M259" i="2"/>
  <c r="K237" i="2"/>
  <c r="K259" i="2"/>
  <c r="H217" i="2"/>
  <c r="K211" i="2"/>
  <c r="E292" i="2"/>
  <c r="E227" i="2"/>
  <c r="F211" i="2"/>
  <c r="L18" i="2"/>
  <c r="F217" i="2"/>
  <c r="L279" i="2"/>
  <c r="D222" i="2"/>
  <c r="J279" i="2"/>
  <c r="F279" i="2"/>
  <c r="J198" i="2" l="1"/>
  <c r="J197" i="2" s="1"/>
  <c r="F191" i="2"/>
  <c r="F190" i="2" s="1"/>
  <c r="F198" i="2"/>
  <c r="F197" i="2" s="1"/>
  <c r="S191" i="2"/>
  <c r="S190" i="2" s="1"/>
  <c r="S198" i="2"/>
  <c r="S197" i="2" s="1"/>
  <c r="L191" i="2"/>
  <c r="L289" i="2" s="1"/>
  <c r="L277" i="2" s="1"/>
  <c r="U198" i="2"/>
  <c r="U197" i="2" s="1"/>
  <c r="H191" i="2"/>
  <c r="H289" i="2" s="1"/>
  <c r="E16" i="2"/>
  <c r="E19" i="2"/>
  <c r="E191" i="2"/>
  <c r="E190" i="2" s="1"/>
  <c r="T18" i="2"/>
  <c r="T16" i="2"/>
  <c r="G16" i="2"/>
  <c r="G15" i="2" s="1"/>
  <c r="G191" i="2"/>
  <c r="G190" i="2" s="1"/>
  <c r="G198" i="2"/>
  <c r="G290" i="2" s="1"/>
  <c r="P16" i="2"/>
  <c r="R16" i="2"/>
  <c r="R19" i="2"/>
  <c r="R18" i="2" s="1"/>
  <c r="R198" i="2"/>
  <c r="R290" i="2" s="1"/>
  <c r="R274" i="2"/>
  <c r="R273" i="2" s="1"/>
  <c r="P191" i="2"/>
  <c r="P289" i="2" s="1"/>
  <c r="N16" i="2"/>
  <c r="N19" i="2"/>
  <c r="N18" i="2" s="1"/>
  <c r="N198" i="2"/>
  <c r="N197" i="2" s="1"/>
  <c r="Q19" i="2"/>
  <c r="Q18" i="2" s="1"/>
  <c r="Q16" i="2"/>
  <c r="O274" i="2"/>
  <c r="O273" i="2" s="1"/>
  <c r="M16" i="2"/>
  <c r="M19" i="2"/>
  <c r="M291" i="2"/>
  <c r="M198" i="2"/>
  <c r="M197" i="2" s="1"/>
  <c r="O16" i="2"/>
  <c r="O19" i="2"/>
  <c r="O191" i="2"/>
  <c r="O190" i="2" s="1"/>
  <c r="O198" i="2"/>
  <c r="O197" i="2" s="1"/>
  <c r="Q195" i="2"/>
  <c r="Q194" i="2" s="1"/>
  <c r="Q198" i="2"/>
  <c r="Q197" i="2" s="1"/>
  <c r="Q274" i="2"/>
  <c r="Q273" i="2" s="1"/>
  <c r="T191" i="2"/>
  <c r="T190" i="2" s="1"/>
  <c r="I16" i="2"/>
  <c r="I19" i="2"/>
  <c r="I198" i="2"/>
  <c r="K16" i="2"/>
  <c r="K19" i="2"/>
  <c r="K18" i="2" s="1"/>
  <c r="K191" i="2"/>
  <c r="K190" i="2" s="1"/>
  <c r="K198" i="2"/>
  <c r="K197" i="2" s="1"/>
  <c r="J290" i="2" l="1"/>
  <c r="F289" i="2"/>
  <c r="R15" i="2"/>
  <c r="R278" i="2"/>
  <c r="R277" i="2" s="1"/>
  <c r="Q15" i="2"/>
  <c r="Q276" i="2" s="1"/>
  <c r="Q278" i="2"/>
  <c r="N15" i="2"/>
  <c r="N276" i="2" s="1"/>
  <c r="N278" i="2"/>
  <c r="I15" i="2"/>
  <c r="I278" i="2"/>
  <c r="K15" i="2"/>
  <c r="K276" i="2" s="1"/>
  <c r="K278" i="2"/>
  <c r="O278" i="2"/>
  <c r="M15" i="2"/>
  <c r="M278" i="2"/>
  <c r="P15" i="2"/>
  <c r="T15" i="2"/>
  <c r="T276" i="2" s="1"/>
  <c r="T278" i="2"/>
  <c r="E15" i="2"/>
  <c r="E278" i="2"/>
  <c r="K290" i="2"/>
  <c r="N290" i="2"/>
  <c r="O290" i="2"/>
  <c r="O18" i="2"/>
  <c r="H190" i="2"/>
  <c r="O15" i="2"/>
  <c r="I197" i="2"/>
  <c r="G289" i="2"/>
  <c r="O289" i="2"/>
  <c r="M290" i="2"/>
  <c r="Q290" i="2"/>
  <c r="G197" i="2"/>
  <c r="E289" i="2"/>
  <c r="P190" i="2"/>
  <c r="R197" i="2"/>
  <c r="T289" i="2"/>
  <c r="K289" i="2"/>
  <c r="L190" i="2"/>
  <c r="L276" i="2" s="1"/>
  <c r="R276" i="2" l="1"/>
  <c r="T277" i="2"/>
  <c r="O276" i="2"/>
  <c r="Q277" i="2"/>
  <c r="N277" i="2"/>
  <c r="O277" i="2"/>
  <c r="K277" i="2"/>
  <c r="D269" i="2" l="1"/>
  <c r="S268" i="2"/>
  <c r="C269" i="2" l="1"/>
  <c r="C268" i="2" s="1"/>
  <c r="D268" i="2"/>
  <c r="S267" i="2"/>
  <c r="D267" i="2" l="1"/>
  <c r="C267" i="2"/>
  <c r="S16" i="2" l="1"/>
  <c r="S15" i="2" s="1"/>
  <c r="C16" i="2" l="1"/>
  <c r="C15" i="2" s="1"/>
  <c r="D70" i="2" l="1"/>
  <c r="C70" i="2" s="1"/>
  <c r="M68" i="2"/>
  <c r="M286" i="2" l="1"/>
  <c r="M277" i="2" s="1"/>
  <c r="M18" i="2"/>
  <c r="M276" i="2" s="1"/>
  <c r="D115" i="2" l="1"/>
  <c r="C115" i="2" l="1"/>
  <c r="D88" i="2"/>
  <c r="C88" i="2" l="1"/>
  <c r="U290" i="2"/>
  <c r="G25" i="2" l="1"/>
  <c r="D25" i="2" s="1"/>
  <c r="C25" i="2" s="1"/>
  <c r="G121" i="2" l="1"/>
  <c r="H120" i="2"/>
  <c r="E120" i="2" l="1"/>
  <c r="E114" i="2" s="1"/>
  <c r="H114" i="2"/>
  <c r="H293" i="2" l="1"/>
  <c r="H277" i="2" s="1"/>
  <c r="H18" i="2"/>
  <c r="H276" i="2" s="1"/>
  <c r="E293" i="2"/>
  <c r="E18" i="2"/>
  <c r="E276" i="2" s="1"/>
  <c r="S121" i="2"/>
  <c r="D121" i="2" s="1"/>
  <c r="C121" i="2" s="1"/>
  <c r="S130" i="2"/>
  <c r="D130" i="2" s="1"/>
  <c r="C130" i="2" s="1"/>
  <c r="S48" i="2"/>
  <c r="S51" i="2"/>
  <c r="S85" i="2"/>
  <c r="D85" i="2" s="1"/>
  <c r="C85" i="2" s="1"/>
  <c r="S84" i="2"/>
  <c r="S79" i="2"/>
  <c r="S45" i="2"/>
  <c r="D45" i="2" s="1"/>
  <c r="C45" i="2" s="1"/>
  <c r="S44" i="2"/>
  <c r="S42" i="2"/>
  <c r="D42" i="2" s="1"/>
  <c r="C42" i="2" s="1"/>
  <c r="S40" i="2"/>
  <c r="S109" i="2"/>
  <c r="D109" i="2" s="1"/>
  <c r="C109" i="2" s="1"/>
  <c r="U66" i="2"/>
  <c r="D62" i="2"/>
  <c r="C62" i="2" s="1"/>
  <c r="J111" i="2"/>
  <c r="J106" i="2" s="1"/>
  <c r="S86" i="2"/>
  <c r="D86" i="2" s="1"/>
  <c r="C86" i="2" s="1"/>
  <c r="U69" i="2"/>
  <c r="S23" i="2"/>
  <c r="D23" i="2" s="1"/>
  <c r="C23" i="2" s="1"/>
  <c r="S92" i="2"/>
  <c r="S93" i="2"/>
  <c r="D93" i="2" s="1"/>
  <c r="C93" i="2" s="1"/>
  <c r="S76" i="2"/>
  <c r="D76" i="2" s="1"/>
  <c r="C76" i="2" s="1"/>
  <c r="D81" i="2"/>
  <c r="C81" i="2" s="1"/>
  <c r="S65" i="2"/>
  <c r="D65" i="2" s="1"/>
  <c r="C65" i="2" s="1"/>
  <c r="I90" i="2"/>
  <c r="I83" i="2" s="1"/>
  <c r="S35" i="2"/>
  <c r="S128" i="2"/>
  <c r="D128" i="2" s="1"/>
  <c r="C128" i="2" s="1"/>
  <c r="G111" i="2"/>
  <c r="G106" i="2" s="1"/>
  <c r="S97" i="2"/>
  <c r="D97" i="2" s="1"/>
  <c r="C97" i="2" s="1"/>
  <c r="S28" i="2"/>
  <c r="D28" i="2" s="1"/>
  <c r="C28" i="2" s="1"/>
  <c r="S49" i="2"/>
  <c r="D49" i="2" s="1"/>
  <c r="C49" i="2" s="1"/>
  <c r="S108" i="2"/>
  <c r="J21" i="4"/>
  <c r="S64" i="2" s="1"/>
  <c r="D64" i="2" s="1"/>
  <c r="C64" i="2" s="1"/>
  <c r="S89" i="2"/>
  <c r="D89" i="2" s="1"/>
  <c r="C89" i="2" s="1"/>
  <c r="S110" i="2"/>
  <c r="S116" i="2"/>
  <c r="D116" i="2" s="1"/>
  <c r="S47" i="2"/>
  <c r="D47" i="2" s="1"/>
  <c r="S34" i="2"/>
  <c r="D34" i="2" s="1"/>
  <c r="C34" i="2" s="1"/>
  <c r="G122" i="2"/>
  <c r="D122" i="2" s="1"/>
  <c r="C122" i="2" s="1"/>
  <c r="G125" i="2"/>
  <c r="S125" i="2"/>
  <c r="G75" i="2"/>
  <c r="G74" i="2" s="1"/>
  <c r="G55" i="2"/>
  <c r="D27" i="2"/>
  <c r="C27" i="2" s="1"/>
  <c r="G35" i="2"/>
  <c r="G22" i="2"/>
  <c r="D22" i="2" s="1"/>
  <c r="C22" i="2" s="1"/>
  <c r="G29" i="2"/>
  <c r="D29" i="2" s="1"/>
  <c r="C29" i="2" s="1"/>
  <c r="G24" i="2"/>
  <c r="D24" i="2" s="1"/>
  <c r="C24" i="2" s="1"/>
  <c r="G26" i="2"/>
  <c r="D26" i="2" s="1"/>
  <c r="C26" i="2" s="1"/>
  <c r="G21" i="2"/>
  <c r="S21" i="2"/>
  <c r="G30" i="2"/>
  <c r="D30" i="2" s="1"/>
  <c r="C30" i="2" s="1"/>
  <c r="G36" i="2"/>
  <c r="S36" i="2"/>
  <c r="S33" i="2"/>
  <c r="D33" i="2" s="1"/>
  <c r="C33" i="2" s="1"/>
  <c r="S32" i="2"/>
  <c r="D32" i="2" s="1"/>
  <c r="C32" i="2" s="1"/>
  <c r="G37" i="2"/>
  <c r="D37" i="2" s="1"/>
  <c r="C37" i="2" s="1"/>
  <c r="G57" i="2"/>
  <c r="G58" i="2"/>
  <c r="D58" i="2" s="1"/>
  <c r="C58" i="2" s="1"/>
  <c r="D38" i="2"/>
  <c r="C38" i="2" s="1"/>
  <c r="G120" i="2"/>
  <c r="S119" i="2"/>
  <c r="S83" i="2" l="1"/>
  <c r="S290" i="2" s="1"/>
  <c r="S74" i="2"/>
  <c r="S288" i="2" s="1"/>
  <c r="F66" i="2"/>
  <c r="F59" i="2" s="1"/>
  <c r="F285" i="2" s="1"/>
  <c r="U59" i="2"/>
  <c r="U285" i="2" s="1"/>
  <c r="E277" i="2"/>
  <c r="D111" i="2"/>
  <c r="C111" i="2" s="1"/>
  <c r="D110" i="2"/>
  <c r="C110" i="2" s="1"/>
  <c r="D119" i="2"/>
  <c r="C119" i="2" s="1"/>
  <c r="D63" i="2"/>
  <c r="C63" i="2" s="1"/>
  <c r="G292" i="2"/>
  <c r="D40" i="2"/>
  <c r="D69" i="2"/>
  <c r="S68" i="2"/>
  <c r="S286" i="2" s="1"/>
  <c r="G56" i="2"/>
  <c r="G284" i="2" s="1"/>
  <c r="D57" i="2"/>
  <c r="C47" i="2"/>
  <c r="S46" i="2"/>
  <c r="S281" i="2" s="1"/>
  <c r="D48" i="2"/>
  <c r="C48" i="2" s="1"/>
  <c r="D51" i="2"/>
  <c r="G54" i="2"/>
  <c r="G283" i="2" s="1"/>
  <c r="D55" i="2"/>
  <c r="D75" i="2"/>
  <c r="D74" i="2" s="1"/>
  <c r="G288" i="2"/>
  <c r="D125" i="2"/>
  <c r="C125" i="2" s="1"/>
  <c r="D129" i="2"/>
  <c r="C129" i="2" s="1"/>
  <c r="J19" i="4"/>
  <c r="J57" i="4" s="1"/>
  <c r="D21" i="4"/>
  <c r="D108" i="2"/>
  <c r="U68" i="2"/>
  <c r="U286" i="2" s="1"/>
  <c r="F69" i="2"/>
  <c r="F68" i="2" s="1"/>
  <c r="F286" i="2" s="1"/>
  <c r="D44" i="2"/>
  <c r="S43" i="2"/>
  <c r="S280" i="2" s="1"/>
  <c r="D84" i="2"/>
  <c r="D83" i="2" s="1"/>
  <c r="S71" i="2"/>
  <c r="S287" i="2" s="1"/>
  <c r="D73" i="2"/>
  <c r="D79" i="2"/>
  <c r="G114" i="2"/>
  <c r="G293" i="2" s="1"/>
  <c r="D120" i="2"/>
  <c r="C120" i="2" s="1"/>
  <c r="D36" i="2"/>
  <c r="C36" i="2" s="1"/>
  <c r="D21" i="2"/>
  <c r="C21" i="2" s="1"/>
  <c r="G19" i="2"/>
  <c r="D20" i="2"/>
  <c r="D35" i="2"/>
  <c r="C35" i="2" s="1"/>
  <c r="F90" i="2"/>
  <c r="F83" i="2" s="1"/>
  <c r="D92" i="2"/>
  <c r="S105" i="2"/>
  <c r="D105" i="2" s="1"/>
  <c r="C105" i="2" s="1"/>
  <c r="J292" i="2"/>
  <c r="J277" i="2" s="1"/>
  <c r="J18" i="2"/>
  <c r="J276" i="2" s="1"/>
  <c r="D124" i="2"/>
  <c r="C124" i="2" s="1"/>
  <c r="S60" i="2"/>
  <c r="S66" i="2"/>
  <c r="D66" i="2" s="1"/>
  <c r="U31" i="2"/>
  <c r="S126" i="2"/>
  <c r="D126" i="2" s="1"/>
  <c r="C126" i="2" s="1"/>
  <c r="S53" i="2"/>
  <c r="D53" i="2" s="1"/>
  <c r="C53" i="2" s="1"/>
  <c r="S31" i="2"/>
  <c r="S112" i="2"/>
  <c r="S106" i="2" s="1"/>
  <c r="S80" i="2"/>
  <c r="D80" i="2" s="1"/>
  <c r="C80" i="2" s="1"/>
  <c r="S41" i="2"/>
  <c r="D41" i="2" s="1"/>
  <c r="C41" i="2" s="1"/>
  <c r="S52" i="2"/>
  <c r="D52" i="2" s="1"/>
  <c r="C52" i="2" s="1"/>
  <c r="D91" i="2" l="1"/>
  <c r="S91" i="2"/>
  <c r="S291" i="2" s="1"/>
  <c r="S59" i="2"/>
  <c r="S285" i="2" s="1"/>
  <c r="D117" i="2"/>
  <c r="C117" i="2" s="1"/>
  <c r="D112" i="2"/>
  <c r="J55" i="4"/>
  <c r="J16" i="4"/>
  <c r="J54" i="4" s="1"/>
  <c r="D78" i="2"/>
  <c r="D289" i="2" s="1"/>
  <c r="S78" i="2"/>
  <c r="S289" i="2" s="1"/>
  <c r="C66" i="2"/>
  <c r="S19" i="2"/>
  <c r="S278" i="2" s="1"/>
  <c r="C46" i="2"/>
  <c r="C281" i="2" s="1"/>
  <c r="I18" i="2"/>
  <c r="I276" i="2" s="1"/>
  <c r="I290" i="2"/>
  <c r="I277" i="2" s="1"/>
  <c r="G278" i="2"/>
  <c r="G277" i="2" s="1"/>
  <c r="G18" i="2"/>
  <c r="G276" i="2" s="1"/>
  <c r="D71" i="2"/>
  <c r="D287" i="2" s="1"/>
  <c r="C73" i="2"/>
  <c r="C71" i="2" s="1"/>
  <c r="C287" i="2" s="1"/>
  <c r="S292" i="2"/>
  <c r="S50" i="2"/>
  <c r="S282" i="2" s="1"/>
  <c r="S114" i="2"/>
  <c r="S293" i="2" s="1"/>
  <c r="C57" i="2"/>
  <c r="C56" i="2" s="1"/>
  <c r="C284" i="2" s="1"/>
  <c r="D56" i="2"/>
  <c r="D284" i="2" s="1"/>
  <c r="S39" i="2"/>
  <c r="S279" i="2" s="1"/>
  <c r="P285" i="2"/>
  <c r="D291" i="2"/>
  <c r="C92" i="2"/>
  <c r="C91" i="2" s="1"/>
  <c r="D19" i="4"/>
  <c r="D57" i="4" s="1"/>
  <c r="C21" i="4"/>
  <c r="C19" i="4" s="1"/>
  <c r="C57" i="4" s="1"/>
  <c r="D54" i="2"/>
  <c r="D283" i="2" s="1"/>
  <c r="C55" i="2"/>
  <c r="C54" i="2" s="1"/>
  <c r="C283" i="2" s="1"/>
  <c r="D46" i="2"/>
  <c r="D281" i="2" s="1"/>
  <c r="C90" i="2"/>
  <c r="F290" i="2"/>
  <c r="C20" i="2"/>
  <c r="C79" i="2"/>
  <c r="C78" i="2" s="1"/>
  <c r="D290" i="2"/>
  <c r="C84" i="2"/>
  <c r="D68" i="2"/>
  <c r="D286" i="2" s="1"/>
  <c r="C69" i="2"/>
  <c r="C68" i="2" s="1"/>
  <c r="C286" i="2" s="1"/>
  <c r="U19" i="2"/>
  <c r="F31" i="2"/>
  <c r="F19" i="2" s="1"/>
  <c r="D60" i="2"/>
  <c r="D59" i="2" s="1"/>
  <c r="D43" i="2"/>
  <c r="D280" i="2" s="1"/>
  <c r="C44" i="2"/>
  <c r="C43" i="2" s="1"/>
  <c r="C280" i="2" s="1"/>
  <c r="C108" i="2"/>
  <c r="C75" i="2"/>
  <c r="D288" i="2"/>
  <c r="D50" i="2"/>
  <c r="D282" i="2" s="1"/>
  <c r="C51" i="2"/>
  <c r="C50" i="2" s="1"/>
  <c r="C282" i="2" s="1"/>
  <c r="C116" i="2"/>
  <c r="C40" i="2"/>
  <c r="C39" i="2" s="1"/>
  <c r="C279" i="2" s="1"/>
  <c r="D39" i="2"/>
  <c r="D279" i="2" s="1"/>
  <c r="D106" i="2" l="1"/>
  <c r="D292" i="2" s="1"/>
  <c r="C83" i="2"/>
  <c r="C290" i="2" s="1"/>
  <c r="C291" i="2"/>
  <c r="D114" i="2"/>
  <c r="D293" i="2" s="1"/>
  <c r="C74" i="2"/>
  <c r="C288" i="2" s="1"/>
  <c r="C112" i="2"/>
  <c r="C114" i="2"/>
  <c r="C293" i="2" s="1"/>
  <c r="C289" i="2"/>
  <c r="F278" i="2"/>
  <c r="F277" i="2" s="1"/>
  <c r="F18" i="2"/>
  <c r="F276" i="2" s="1"/>
  <c r="S18" i="2"/>
  <c r="S276" i="2" s="1"/>
  <c r="U278" i="2"/>
  <c r="U277" i="2" s="1"/>
  <c r="U18" i="2"/>
  <c r="U276" i="2" s="1"/>
  <c r="S277" i="2"/>
  <c r="C60" i="2"/>
  <c r="D285" i="2"/>
  <c r="C106" i="2" l="1"/>
  <c r="C292" i="2" s="1"/>
  <c r="C59" i="2"/>
  <c r="C285" i="2" s="1"/>
  <c r="G18" i="4"/>
  <c r="P31" i="2" l="1"/>
  <c r="G17" i="4"/>
  <c r="D18" i="4"/>
  <c r="D17" i="4" l="1"/>
  <c r="C18" i="4"/>
  <c r="C17" i="4" s="1"/>
  <c r="G56" i="4"/>
  <c r="G55" i="4" s="1"/>
  <c r="G16" i="4"/>
  <c r="G54" i="4" s="1"/>
  <c r="P19" i="2"/>
  <c r="D31" i="2"/>
  <c r="D19" i="2" l="1"/>
  <c r="C31" i="2"/>
  <c r="C19" i="2" s="1"/>
  <c r="C56" i="4"/>
  <c r="C55" i="4" s="1"/>
  <c r="C16" i="4"/>
  <c r="C54" i="4" s="1"/>
  <c r="P278" i="2"/>
  <c r="P277" i="2" s="1"/>
  <c r="P18" i="2"/>
  <c r="P276" i="2" s="1"/>
  <c r="D56" i="4"/>
  <c r="D55" i="4" s="1"/>
  <c r="D16" i="4"/>
  <c r="D54" i="4" s="1"/>
  <c r="C278" i="2" l="1"/>
  <c r="C277" i="2" s="1"/>
  <c r="C18" i="2"/>
  <c r="C276" i="2" s="1"/>
  <c r="D278" i="2"/>
  <c r="D277" i="2" s="1"/>
  <c r="D18" i="2"/>
  <c r="D276" i="2" s="1"/>
</calcChain>
</file>

<file path=xl/sharedStrings.xml><?xml version="1.0" encoding="utf-8"?>
<sst xmlns="http://schemas.openxmlformats.org/spreadsheetml/2006/main" count="968" uniqueCount="622">
  <si>
    <t>1.</t>
  </si>
  <si>
    <t>1.1.</t>
  </si>
  <si>
    <t>Gyventojų pajamų mokestis</t>
  </si>
  <si>
    <t>1.2.</t>
  </si>
  <si>
    <t xml:space="preserve">Turto mokesčiai </t>
  </si>
  <si>
    <t>Žemės mokestis</t>
  </si>
  <si>
    <t>Paveldimo turto mokestis</t>
  </si>
  <si>
    <t>Nekilnojamojo turto mokestis</t>
  </si>
  <si>
    <t>1.3.</t>
  </si>
  <si>
    <t>Prekių ir paslaugų mokesčiai</t>
  </si>
  <si>
    <t>Valstybės rinkliavos</t>
  </si>
  <si>
    <t>Vietinės rinkliavos</t>
  </si>
  <si>
    <t>2.</t>
  </si>
  <si>
    <t>2.1.</t>
  </si>
  <si>
    <t>Turto pajamos</t>
  </si>
  <si>
    <t>Nuomos mokestis už valstybinę žemę ir valstybinio vidaus vandenų fondo vandens telkinius</t>
  </si>
  <si>
    <t>2.2.</t>
  </si>
  <si>
    <t>Pajamos iš baudų ir konfiskacijų</t>
  </si>
  <si>
    <t>2.4.</t>
  </si>
  <si>
    <t>Kitos neišvardytos pajamos</t>
  </si>
  <si>
    <t>2.5.</t>
  </si>
  <si>
    <t>3.</t>
  </si>
  <si>
    <t>4.</t>
  </si>
  <si>
    <t>5.</t>
  </si>
  <si>
    <t>6.</t>
  </si>
  <si>
    <t>Mokesčiai už aplinkos teršimą</t>
  </si>
  <si>
    <t>7.</t>
  </si>
  <si>
    <t>7.1.</t>
  </si>
  <si>
    <t>Mokesčiai už valstybinius gamtos išteklius:</t>
  </si>
  <si>
    <t>Mokestis už medžiojamųjų gyvūnų išteklius</t>
  </si>
  <si>
    <t>Kiti mokesčiai už valstybinius gamtos išteklius</t>
  </si>
  <si>
    <t>8.</t>
  </si>
  <si>
    <t>Pajamos už prekes ir paslaugas</t>
  </si>
  <si>
    <t>8.1.</t>
  </si>
  <si>
    <t>Pajamos už patalpų nuomą</t>
  </si>
  <si>
    <t>Iš viso biudžetinių įstaigų pajamų įmokų</t>
  </si>
  <si>
    <t>Lazdijų rajono savivaldybės tarybos</t>
  </si>
  <si>
    <t>(tūkst. Eur)</t>
  </si>
  <si>
    <t xml:space="preserve">2017 METŲ LAZDIJŲ RAJONO SAVIVALDYBĖS BIUDŽETO PAJAMOS </t>
  </si>
  <si>
    <t>PAJAMŲ PAVADINIMAS</t>
  </si>
  <si>
    <t xml:space="preserve">IŠ VISO </t>
  </si>
  <si>
    <t>EIL. NR.</t>
  </si>
  <si>
    <t>Materialiojo ir nematerialiojo turto realizavimo pajamos</t>
  </si>
  <si>
    <t>IŠ VISO PROGNOZUOJAMŲ PAJAMŲ, MOKESČIŲ IŠ TURTO, RINKLIAVŲ IR KITŲ PAJAMŲ</t>
  </si>
  <si>
    <t>3.1.</t>
  </si>
  <si>
    <t>3.2.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</si>
  <si>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</si>
  <si>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</si>
  <si>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</si>
  <si>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</si>
  <si>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</si>
  <si>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</si>
  <si>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</si>
  <si>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</si>
  <si>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</si>
  <si>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</si>
  <si>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</si>
  <si>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</si>
  <si>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</si>
  <si>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</si>
  <si>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</si>
  <si>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</si>
  <si>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</si>
  <si>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</si>
  <si>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</si>
  <si>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</si>
  <si>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</si>
  <si>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</si>
  <si>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Bendrosios dotacijos kompensacija</t>
  </si>
  <si>
    <t>1.2.1.</t>
  </si>
  <si>
    <t>1.2.2.</t>
  </si>
  <si>
    <t>1.2.3.</t>
  </si>
  <si>
    <t>Mokinio krepšeliui finansuoti</t>
  </si>
  <si>
    <t>3.3.</t>
  </si>
  <si>
    <t>3.3.1.</t>
  </si>
  <si>
    <t>Europos Sąjungos finansinės paramos lėšos</t>
  </si>
  <si>
    <t>IŠ VISO DOTACIJŲ</t>
  </si>
  <si>
    <t>Būsto nuomos ar išperkamosios būsto nuomos mokesčių dalies kompensacijoms</t>
  </si>
  <si>
    <t>Civilinei saugai</t>
  </si>
  <si>
    <t>Civilinės būklės aktams registruoti</t>
  </si>
  <si>
    <t>Dalyvauti rengiant ir vykdant mobilizaciją</t>
  </si>
  <si>
    <t>Darbo rinkos politikos priemonių ir gyventojų užimtumo programoms rengti ir įgyvendinti</t>
  </si>
  <si>
    <t>Duomenų teikimas valstybės suteiktos pagalbos registrui</t>
  </si>
  <si>
    <t>Gyvenamosios vietos deklaravimo duomenims ir gyvenamosios vietos neturinčių asmenų apskaitos duomenims tvarkyti</t>
  </si>
  <si>
    <t>Gyventojų registrui tvarkyti ir duomenims valstybės registrams teikti</t>
  </si>
  <si>
    <t>Jaunimo teisių apsaugai</t>
  </si>
  <si>
    <t>Melioracijai</t>
  </si>
  <si>
    <t>Neveiksnių asmenų būklės peržiūrėjimui užtikrinti</t>
  </si>
  <si>
    <t>Pirminei teisinei pagalbai teikti</t>
  </si>
  <si>
    <t>Priešgaisrinei saugai</t>
  </si>
  <si>
    <t>Savivaldybei  priskirtai valstybinei žemei ir kitam valstybės turtui valdyti, naudoti ir disponuoti juo patikėjimo teise</t>
  </si>
  <si>
    <t>Savivaldybei priskirtiems archyviniams dokumentams tvarkyti</t>
  </si>
  <si>
    <t xml:space="preserve">Socialinei paramai mokiniams </t>
  </si>
  <si>
    <t>Socialinėms išmokoms ir kompensacijoms skaičiuoti ir mokėti</t>
  </si>
  <si>
    <t>Socialinėms paslaugoms</t>
  </si>
  <si>
    <t>Vaikų teisių apsaugai</t>
  </si>
  <si>
    <t>Valstybinės kalbos vartojimo ir taisyklingumo kontrolė</t>
  </si>
  <si>
    <t>Visuomenės sveikatos priežiūros funkcijoms vykdyti</t>
  </si>
  <si>
    <t>Žemės ūkio funkcijoms atlikti</t>
  </si>
  <si>
    <t>Savivaldybių mokykloms (klasėms ar grupėms), skirtoms šalies (regiono) mokiniams, turintiems specialiųjų ugdymosi poreikių</t>
  </si>
  <si>
    <t>Valstybės investicijų programoje numatytiems projektams finansuoti</t>
  </si>
  <si>
    <t>Mokesčiai</t>
  </si>
  <si>
    <t>Kitos pajamos</t>
  </si>
  <si>
    <t>Valstybės biudžeto specialios tikslinės dotacijos</t>
  </si>
  <si>
    <t>IŠ VISO PROGNOZUOJAMŲ PAJAMŲ, MOKESČIŲ IŠ TURTO, RINKLIAVŲ, KITŲ PAJAMŲ IR DOTACIJŲ</t>
  </si>
  <si>
    <t>9.</t>
  </si>
  <si>
    <t>9.1.</t>
  </si>
  <si>
    <t>9.2.</t>
  </si>
  <si>
    <t>9.3.</t>
  </si>
  <si>
    <t>I. PROGNOZUOJAMOS PAJAMOS, MOKESČIAI IŠ TURTO, RINKLIAVOS IR KITOS PAJAMOS</t>
  </si>
  <si>
    <t>II. DOTACIJOS</t>
  </si>
  <si>
    <t>IV. BIUDŽETINIŲ ĮSTAIGŲ PAJAMŲ ĮMOKOS</t>
  </si>
  <si>
    <t>3.3.2.</t>
  </si>
  <si>
    <t>Neformaliajam vaikų švietimui</t>
  </si>
  <si>
    <t>Eil. Nr.</t>
  </si>
  <si>
    <t>Iš viso</t>
  </si>
  <si>
    <t>Iš jų</t>
  </si>
  <si>
    <t>Europos Sąjungos finansinės paramos lėšos, bendrojo finansavimo lėšos</t>
  </si>
  <si>
    <t xml:space="preserve">Specialioji tikslinė dotacija mokinio krepšeliui </t>
  </si>
  <si>
    <t>Biudžetinių įstaigų ir specialiųjų programų lėšos</t>
  </si>
  <si>
    <t>išlaidoms</t>
  </si>
  <si>
    <t>iš viso</t>
  </si>
  <si>
    <t>iš jų darbo užmokes-čiui</t>
  </si>
  <si>
    <t>Lazdijų rajono savivaldybės kontrolės ir audito tarnyba</t>
  </si>
  <si>
    <t>1.1.1.</t>
  </si>
  <si>
    <t>Savivaldybės kontrolės ir audito tarnybos darbo organizavimas</t>
  </si>
  <si>
    <t>Lazdijų rajono savivaldybės administracija</t>
  </si>
  <si>
    <t xml:space="preserve">01 Valdymo tobulinimo programa </t>
  </si>
  <si>
    <t>2.1.1.</t>
  </si>
  <si>
    <t>Savivaldybės tarybos darbo organizavimas</t>
  </si>
  <si>
    <t>2.1.2.</t>
  </si>
  <si>
    <t>Savivaldybės administracijos darbo organizavimas</t>
  </si>
  <si>
    <t>2.1.3.</t>
  </si>
  <si>
    <t>Žemės ūkio funkcijų vykdymas</t>
  </si>
  <si>
    <t>2.1.4.</t>
  </si>
  <si>
    <t>Archyvinių dokumentų tvarkymas</t>
  </si>
  <si>
    <t>2.1.5.</t>
  </si>
  <si>
    <t>Mobilizacijos administravimas</t>
  </si>
  <si>
    <t>2.1.6.</t>
  </si>
  <si>
    <t>Pirminės teisinės pagalbos teikimas</t>
  </si>
  <si>
    <t>2.1.7.</t>
  </si>
  <si>
    <t>Gyvenamosios vietos deklaravimas</t>
  </si>
  <si>
    <t>2.1.8.</t>
  </si>
  <si>
    <t>Socialinių išmokų administravimas</t>
  </si>
  <si>
    <t>2.1.9.</t>
  </si>
  <si>
    <t>Valstybinės žemės ir kito valstybės turto valdymas, naudojimas ir disponavimas patikėjimo teise</t>
  </si>
  <si>
    <t>2.1.10.</t>
  </si>
  <si>
    <t>2.1.11.</t>
  </si>
  <si>
    <t>Vaikų ir jaunimo teisių apsauga</t>
  </si>
  <si>
    <t>2.1.12.</t>
  </si>
  <si>
    <t>Gyventojų registro tvarkymas ir duomenų teikimas</t>
  </si>
  <si>
    <t>2.1.13.</t>
  </si>
  <si>
    <t>2.1.14.</t>
  </si>
  <si>
    <t>Civilinės būklės aktų registravimas</t>
  </si>
  <si>
    <t>2.1.15.</t>
  </si>
  <si>
    <t>Civilinės saugos organizavimas</t>
  </si>
  <si>
    <t>2.1.16.</t>
  </si>
  <si>
    <t>Direktoriaus rezervas</t>
  </si>
  <si>
    <t>2.1.17.</t>
  </si>
  <si>
    <t>Kitos bendrosios paslaugos</t>
  </si>
  <si>
    <t>2.1.18.</t>
  </si>
  <si>
    <t>Mero fondas</t>
  </si>
  <si>
    <t>2.1.19.</t>
  </si>
  <si>
    <t>Seniūnaičių darbo organizavimas</t>
  </si>
  <si>
    <t>02 Vaikų ir jaunimo užimtumo ir socializacijos programa</t>
  </si>
  <si>
    <t>2.2.1.</t>
  </si>
  <si>
    <t>Vaikų vasaros poilsio programų organizavimas</t>
  </si>
  <si>
    <t>2.2.2.</t>
  </si>
  <si>
    <t>Jaunimo poilsio programų organizavimas</t>
  </si>
  <si>
    <t>2.2.3.</t>
  </si>
  <si>
    <t>Vaikų ir paauglių nusikalstamumo prevencijos programų vykdymas</t>
  </si>
  <si>
    <t>2.3.</t>
  </si>
  <si>
    <t>2.3.1.</t>
  </si>
  <si>
    <t>Vaizdo stebėjimo kamerų viešosiose vietose priežiūra</t>
  </si>
  <si>
    <t>2.3.2.</t>
  </si>
  <si>
    <t>Lazdijų rajono policijos komisariato programos dalinis finansavimas</t>
  </si>
  <si>
    <t>04  Turizmo ir verslo programa</t>
  </si>
  <si>
    <t>2.4.1.</t>
  </si>
  <si>
    <t>Teikti finansinę paramą smulkaus ir vidutinio verslo subjektams</t>
  </si>
  <si>
    <t>Remti keleivių vežimą reguliaraus susisiekimo autobusų maršrutais</t>
  </si>
  <si>
    <t>2.4.3.</t>
  </si>
  <si>
    <t>Vykdyti Lazdijų rajono savivaldybės turizmo rinkodarą Lietuvoje ir užsienyje, organizuojant reklamos kampanijas internete, plėtojant e-rinkodaros projektus, naudojantis socialinių tinklalapių galimybėmis</t>
  </si>
  <si>
    <t>05 Kaimo plėtros programa</t>
  </si>
  <si>
    <t>2.5.1.</t>
  </si>
  <si>
    <t>Dalinis ūkininkų nuostolių kompensavimas</t>
  </si>
  <si>
    <t>2.5.2.</t>
  </si>
  <si>
    <t>Rajono savivaldybės rengiamų švenčių, konkursų, varžybų finansavimas, organizavimas</t>
  </si>
  <si>
    <t>2.5.3.</t>
  </si>
  <si>
    <t>50 proc. garantinio užmokesčio už suteiktą kredito garantiją paskolų garantijų fondui kompensavimas ūkininkams</t>
  </si>
  <si>
    <t>2.6.</t>
  </si>
  <si>
    <t>06 Viešųjų darbų programa</t>
  </si>
  <si>
    <t>2.6.1.</t>
  </si>
  <si>
    <t>Viešaisiais darbais aprūpinti registruotus bedarbius, bendrojo lavinimo mokyklų ir profesinio mokymo įstaigų mokinius jų atostogų metu bei įgyvendinti užimtumo didinimo programą</t>
  </si>
  <si>
    <t>2.7.</t>
  </si>
  <si>
    <t>07 Melioracijos darbų vykdymo programa</t>
  </si>
  <si>
    <t>2.7.1.</t>
  </si>
  <si>
    <t>Polderinių siurblinių eksploatavimas ir polderinių melioracijos griovių priežiūra</t>
  </si>
  <si>
    <t>2.7.2.</t>
  </si>
  <si>
    <t>Melioracijos statinių priežiūra ir remonto, avarinių gedimų šalinimo darbai</t>
  </si>
  <si>
    <t>2.8.</t>
  </si>
  <si>
    <t>08 Vietinio ūkio ir infrastruktūros priežiūros plėtros programa</t>
  </si>
  <si>
    <t>2.8.1.</t>
  </si>
  <si>
    <t>2.8.2.</t>
  </si>
  <si>
    <t>Užtikrinti priešgaisrinę saugą (AAPGV Lazdijų priešgaisrinė gelbėjimo tarnyba)</t>
  </si>
  <si>
    <t>2.8.3.</t>
  </si>
  <si>
    <t>Gatvių apšvietimo tinklų įrengimas ir priežiūra</t>
  </si>
  <si>
    <t>2.8.4.</t>
  </si>
  <si>
    <t>Užtikrinti  atliekų išvežimą ir tvarkymą</t>
  </si>
  <si>
    <t>2.8.5.</t>
  </si>
  <si>
    <t>Viešųjų erdvių ir kapinių priežiūra</t>
  </si>
  <si>
    <t>2.8.6.</t>
  </si>
  <si>
    <t>Modernizuoti ir plėtoti geriamo vandens tiekimo bei nuotekų šalinimo tinklus, siurblines</t>
  </si>
  <si>
    <t>2.8.7.</t>
  </si>
  <si>
    <t>Socialinių būstų remontas, kitos susijusios išlaidos</t>
  </si>
  <si>
    <t>2.9.</t>
  </si>
  <si>
    <t>09 Aplinkos apsaugos ir teritorijų planavimo programa</t>
  </si>
  <si>
    <t>2.9.1.</t>
  </si>
  <si>
    <t>Vykdyti aplinkos apsaugos rėmimo specialiąją programą</t>
  </si>
  <si>
    <t>2.9.2.</t>
  </si>
  <si>
    <t>Detaliųjų ir specialiųjų planų parengimas, kadastriniai matavimai</t>
  </si>
  <si>
    <t>2.10.</t>
  </si>
  <si>
    <t>10 Investicijų programa</t>
  </si>
  <si>
    <t>2.10.1.</t>
  </si>
  <si>
    <t>Įgyvendinti projektus</t>
  </si>
  <si>
    <t>2.10.2.</t>
  </si>
  <si>
    <t>Rengti naujus projektus</t>
  </si>
  <si>
    <t>2.11.</t>
  </si>
  <si>
    <t>11 Būsto programa</t>
  </si>
  <si>
    <t>2.11.1.</t>
  </si>
  <si>
    <t>Skatinti daugiabučių gyvenamųjų namų ir kitos paskirties pastatų savininkų bendrijų steigimąsi</t>
  </si>
  <si>
    <t>2.11.2.</t>
  </si>
  <si>
    <t>Dalies būsto nuomos mokesčio kompensavimas</t>
  </si>
  <si>
    <t>2.12.</t>
  </si>
  <si>
    <t>12 Visuomenės ir asmens sveikatos priežiūros programa</t>
  </si>
  <si>
    <t>2.12.1.</t>
  </si>
  <si>
    <t>VšĮ ,,Lazdijų ligoninė“ dalinis finansavimas</t>
  </si>
  <si>
    <t>2.12.2.</t>
  </si>
  <si>
    <t>Dantų protezavimo kompensavimas iš savivaldybės biudžeto lėšų</t>
  </si>
  <si>
    <t>2.12.3.</t>
  </si>
  <si>
    <t>Medicinos punktų slaugos paslaugų kokybės gerinimas</t>
  </si>
  <si>
    <t>2.13.</t>
  </si>
  <si>
    <t>13 Kultūros ir sporto plėtojimo programa</t>
  </si>
  <si>
    <t>2.13.1.</t>
  </si>
  <si>
    <t>Įgyvendinti VšĮ Lazdijų kultūros centro metinius veiklos planus</t>
  </si>
  <si>
    <t>2.13.2.</t>
  </si>
  <si>
    <t>Kapitališkai suremontuoti Lazdijų kultūros centrą ir atnaujinti materialinę bazę</t>
  </si>
  <si>
    <t>2.13.3.</t>
  </si>
  <si>
    <t>Finansuoti etninės kultūros išsaugojimo ir puoselėjimo programas ir projektus</t>
  </si>
  <si>
    <t>2.13.4.</t>
  </si>
  <si>
    <t>Finansuoti meno kolektyvus ir su meno kolektyvų veikla susijusius kultūrinius projektus</t>
  </si>
  <si>
    <t>2.13.5.</t>
  </si>
  <si>
    <t>2.13.6.</t>
  </si>
  <si>
    <t>Įgyvendinti VšĮ Lazdijų sporto centro metinius veiklos planus</t>
  </si>
  <si>
    <t>2.14.</t>
  </si>
  <si>
    <t>14 Nevyriausybinių organizacijų ir religinių bendruomenių rėmimo programa</t>
  </si>
  <si>
    <t>2.14.1.</t>
  </si>
  <si>
    <t>Nevyriausybinių organizacijų projektų rėmimas konkurso būdu</t>
  </si>
  <si>
    <t>2.14.2.</t>
  </si>
  <si>
    <t>2.14.3.</t>
  </si>
  <si>
    <t>2.14.4.</t>
  </si>
  <si>
    <t>Socialinės reabilitacijos paslaugų neįgaliesiems bendruomenėje projektų ir neįgaliųjų socialinės integracijos projektų finansavimas</t>
  </si>
  <si>
    <t>2.15.</t>
  </si>
  <si>
    <t>15 Švietimo ir ugdymo programa</t>
  </si>
  <si>
    <t>2.15.1.</t>
  </si>
  <si>
    <t>Įgyvendinti ugdymo programas ir užtikrinti tinkamą ugdymosi aplinką (mokinio krepšelio lėšų 7 proc.)</t>
  </si>
  <si>
    <t>2.15.2.</t>
  </si>
  <si>
    <t>2.15.3.</t>
  </si>
  <si>
    <t>Vykdyti studentų rėmimo programą</t>
  </si>
  <si>
    <t>2.15.4.</t>
  </si>
  <si>
    <t>Užtikrinti mokinių pavežėjimą į mokyklą ir atgal į namus</t>
  </si>
  <si>
    <t>2.15.5.</t>
  </si>
  <si>
    <t>Vykdyti neformaliojo vaikų švietimo programas</t>
  </si>
  <si>
    <t>2.15.6.</t>
  </si>
  <si>
    <t>Įgyvendinti VšĮ Lazdijų švietimo centro metinius veiklos planus</t>
  </si>
  <si>
    <t>Organizuoti ir vykdyti gabių ir talentingų vaikų ugdymo programas</t>
  </si>
  <si>
    <t>2.16.</t>
  </si>
  <si>
    <t>16  Socialinės apsaugos plėtojimo, skurdo bei socialinės atskirties mažinimo programa</t>
  </si>
  <si>
    <t>2.16.1.</t>
  </si>
  <si>
    <t>Talkinti Europos pagalbos labiausiai skurstantiems asmenims fondo veiklų vykdytojams (maisto iš intervencinių atsargų programa)</t>
  </si>
  <si>
    <t>2.16.2.</t>
  </si>
  <si>
    <t>Mokinių aprūpinimas mokinio reikmenimis</t>
  </si>
  <si>
    <t>Teikti bendrąsias socialines paslaugas</t>
  </si>
  <si>
    <t>2.16.4.</t>
  </si>
  <si>
    <t>Finansuoti ir organizuoti socialinės globos paslaugas</t>
  </si>
  <si>
    <t>2.16.5.</t>
  </si>
  <si>
    <t>Finansuoti slaugos lovų išlaikymą viešojoje įstaigoje „Lazdijų ligoninė“</t>
  </si>
  <si>
    <t>2.16.6.</t>
  </si>
  <si>
    <t>Organizuoti ir finansuoti socialinės priežiūros paslaugas</t>
  </si>
  <si>
    <t>2.16.7.</t>
  </si>
  <si>
    <t>Mokėti socialines pašalpas</t>
  </si>
  <si>
    <t>2.16.8.</t>
  </si>
  <si>
    <t>Kompensuoti būsto šildymo išlaidas, geriamojo ir karšto vandens išlaidas</t>
  </si>
  <si>
    <t>2.16.9.</t>
  </si>
  <si>
    <t>Teikti piniginę paramą iš savivaldybės biudžeto lėšų</t>
  </si>
  <si>
    <t>2.16.10.</t>
  </si>
  <si>
    <t>Apmokėti kredito ir palūkanų įmokas</t>
  </si>
  <si>
    <t>2.16.11.</t>
  </si>
  <si>
    <t>Mokėti laidojimo pašalpas</t>
  </si>
  <si>
    <t>2.16.12.</t>
  </si>
  <si>
    <t>Apmokėti vežėjams už suteiktas transporto lengvatas pagal transporto lengvatų įstatymą</t>
  </si>
  <si>
    <t>2.16.13.</t>
  </si>
  <si>
    <t>Plėtoti socialinio būsto fondą</t>
  </si>
  <si>
    <t>2.16.14.</t>
  </si>
  <si>
    <t>Lazdijų rajono savivaldybės administracijos Būdviečio seniūnija</t>
  </si>
  <si>
    <t>Gatvių apšvietimas seniūnijose</t>
  </si>
  <si>
    <t>Vietinių kelių ir gatvių priežiūra žiemą</t>
  </si>
  <si>
    <t>Užtikrinti atliekų išvežimą iš kapinių, viešųjų erdvių priežiūrą, medžių genėjimą</t>
  </si>
  <si>
    <t>Lazdijų rajono savivaldybės administracijos Kapčiamiesčio seniūnija</t>
  </si>
  <si>
    <t>4.1.</t>
  </si>
  <si>
    <t>4.1.1.</t>
  </si>
  <si>
    <t>4.1.2.</t>
  </si>
  <si>
    <t>4.1.3.</t>
  </si>
  <si>
    <t>Lazdijų rajono savivaldybės administracijos Krosnos seniūnija</t>
  </si>
  <si>
    <t>5.1.</t>
  </si>
  <si>
    <t>5.1.1.</t>
  </si>
  <si>
    <t>5.1.2.</t>
  </si>
  <si>
    <t>5.1.3.</t>
  </si>
  <si>
    <t>Lazdijų rajono savivaldybės administracijos Kučiūnų seniūnija</t>
  </si>
  <si>
    <t>6.1.</t>
  </si>
  <si>
    <t>6.1.1.</t>
  </si>
  <si>
    <t>6.1.2.</t>
  </si>
  <si>
    <t>Lazdijų rajono savivaldybės administracijos Lazdijų miesto seniūnija</t>
  </si>
  <si>
    <t>7.1.1.</t>
  </si>
  <si>
    <t>7.1.2.</t>
  </si>
  <si>
    <t>Lazdijų rajono savivaldybės administracijos Lazdijų seniūnija</t>
  </si>
  <si>
    <t>8.1.1.</t>
  </si>
  <si>
    <t>8.1.2.</t>
  </si>
  <si>
    <t>8.1.3.</t>
  </si>
  <si>
    <t>Lazdijų rajono savivaldybės administracijos Noragėlių seniūnija</t>
  </si>
  <si>
    <t>9.1.1.</t>
  </si>
  <si>
    <t>9.1.2.</t>
  </si>
  <si>
    <t>9.1.3.</t>
  </si>
  <si>
    <t>10.</t>
  </si>
  <si>
    <t>Lazdijų rajono savivaldybės administracijos Seirijų seniūnija</t>
  </si>
  <si>
    <t>10.1.</t>
  </si>
  <si>
    <t>10.1.1.</t>
  </si>
  <si>
    <t>10.1.2.</t>
  </si>
  <si>
    <t>10.1.3.</t>
  </si>
  <si>
    <t>11.</t>
  </si>
  <si>
    <t>11.1.</t>
  </si>
  <si>
    <t>11.1.1.</t>
  </si>
  <si>
    <t>11.1.2.</t>
  </si>
  <si>
    <t>11.1.3.</t>
  </si>
  <si>
    <t>12.</t>
  </si>
  <si>
    <t>12.1.</t>
  </si>
  <si>
    <t>12.1.1.</t>
  </si>
  <si>
    <t>12.1.2.</t>
  </si>
  <si>
    <t>12.1.3.</t>
  </si>
  <si>
    <t>13.</t>
  </si>
  <si>
    <t>Lazdijų rajono savivaldybės administracijos Šventežerio seniūnija</t>
  </si>
  <si>
    <t>13.1.</t>
  </si>
  <si>
    <t>13.1.1.</t>
  </si>
  <si>
    <t>13.1.2.</t>
  </si>
  <si>
    <t>13.1.3.</t>
  </si>
  <si>
    <t>14.</t>
  </si>
  <si>
    <t>Lazdijų rajono savivaldybės administracijos Veisiejų  seniūnija</t>
  </si>
  <si>
    <t>14.1.</t>
  </si>
  <si>
    <t>14.1.1.</t>
  </si>
  <si>
    <t>14.1.2.</t>
  </si>
  <si>
    <t>14.1.3.</t>
  </si>
  <si>
    <t>15.</t>
  </si>
  <si>
    <t>Lazdijų rajono savivaldybės visuomenės sveikatos biuras</t>
  </si>
  <si>
    <t>15.1.</t>
  </si>
  <si>
    <t>15.1.1.</t>
  </si>
  <si>
    <t>Organizuoti konferencijas, seminarus ir akcijas, kuriomis būtų skatinamas fizinis aktyvumas, sveika gyvensena</t>
  </si>
  <si>
    <t>15.1.2.</t>
  </si>
  <si>
    <t>16.</t>
  </si>
  <si>
    <t>Lazdijų rajono savivaldybės viešoji biblioteka</t>
  </si>
  <si>
    <t>16.1.</t>
  </si>
  <si>
    <t>16.1.1.</t>
  </si>
  <si>
    <t>Įgyvendinti Lazdijų viešosios bibliotekos metinius veiklos planus</t>
  </si>
  <si>
    <t>17.</t>
  </si>
  <si>
    <t>Lazdijų krašto muziejus</t>
  </si>
  <si>
    <t>17.1.</t>
  </si>
  <si>
    <t>17.1.1.</t>
  </si>
  <si>
    <t>Įgyvendinti Lazdijų krašto muziejaus metinius veiklos planus</t>
  </si>
  <si>
    <t>18.</t>
  </si>
  <si>
    <t>Lazdijų mokykla- darželis „Kregždutė“</t>
  </si>
  <si>
    <t>18.1.</t>
  </si>
  <si>
    <t>18.1.1.</t>
  </si>
  <si>
    <t>Įgyvendinti ugdymo programas ir užtikrinti tinkamą ugdymosi aplinką</t>
  </si>
  <si>
    <t>18.2.</t>
  </si>
  <si>
    <t>18.2.1.</t>
  </si>
  <si>
    <t>Mokinių maitinimas Lazdijų rajono savivaldybės mokyklose</t>
  </si>
  <si>
    <t>19.</t>
  </si>
  <si>
    <t>Lazdijų mokykla- darželis „Vyturėlis“</t>
  </si>
  <si>
    <t>19.1.</t>
  </si>
  <si>
    <t>19.1.1.</t>
  </si>
  <si>
    <t>19.2.</t>
  </si>
  <si>
    <t>19.2.1.</t>
  </si>
  <si>
    <t>20.</t>
  </si>
  <si>
    <t>Lazdijų r. Aštriosios Kirsnos mokykla</t>
  </si>
  <si>
    <t>20.1.</t>
  </si>
  <si>
    <t>20.1.1.</t>
  </si>
  <si>
    <t>20.2.</t>
  </si>
  <si>
    <t>20.2.1.</t>
  </si>
  <si>
    <t>21.</t>
  </si>
  <si>
    <t>Lazdijų r. Kapčiamiesčio Emilijos Pliaterytės mokykla</t>
  </si>
  <si>
    <t>21.1.</t>
  </si>
  <si>
    <t>21.1.1.</t>
  </si>
  <si>
    <t>21.2.</t>
  </si>
  <si>
    <t>21.2.1.</t>
  </si>
  <si>
    <t>22.</t>
  </si>
  <si>
    <t>Lazdijų r. Krosnos mokykla</t>
  </si>
  <si>
    <t>22.1.</t>
  </si>
  <si>
    <t>22.1.1.</t>
  </si>
  <si>
    <t>22.2.</t>
  </si>
  <si>
    <t>22.2.1.</t>
  </si>
  <si>
    <t>23.</t>
  </si>
  <si>
    <t>Lazdijų r. Kučiūnų mokykla</t>
  </si>
  <si>
    <t>23.1.</t>
  </si>
  <si>
    <t>23.1.1.</t>
  </si>
  <si>
    <t>23.2.</t>
  </si>
  <si>
    <t>23.2.1.</t>
  </si>
  <si>
    <t>24.</t>
  </si>
  <si>
    <t>Lazdijų r. Stebulių mokykla</t>
  </si>
  <si>
    <t>24.1.</t>
  </si>
  <si>
    <t>24.1.1.</t>
  </si>
  <si>
    <t>24.2.</t>
  </si>
  <si>
    <t>24.2.1.</t>
  </si>
  <si>
    <t>25.</t>
  </si>
  <si>
    <t>Lazdijų r. Šeštokų mokykla</t>
  </si>
  <si>
    <t>25.1.</t>
  </si>
  <si>
    <t>25.1.1.</t>
  </si>
  <si>
    <t>25.2.</t>
  </si>
  <si>
    <t>25.2.1.</t>
  </si>
  <si>
    <t>26.</t>
  </si>
  <si>
    <t>Lazdijų r. Šventežerio mokykla</t>
  </si>
  <si>
    <t>26.1.</t>
  </si>
  <si>
    <t>26.1.1.</t>
  </si>
  <si>
    <t>26.2.</t>
  </si>
  <si>
    <t>26.2.1.</t>
  </si>
  <si>
    <t>27.</t>
  </si>
  <si>
    <t>Lazdijų r. Veisiejų Sigito Gedos gimnazija</t>
  </si>
  <si>
    <t>27.1.</t>
  </si>
  <si>
    <t>27.1.1.</t>
  </si>
  <si>
    <t>27.2.</t>
  </si>
  <si>
    <t>27.2.1.</t>
  </si>
  <si>
    <t>28.</t>
  </si>
  <si>
    <t>Lazdijų r. Seirijų Antano Žmuidzinavičiaus gimnazija</t>
  </si>
  <si>
    <t>28.1.</t>
  </si>
  <si>
    <t>28.1.1.</t>
  </si>
  <si>
    <t>28.2.</t>
  </si>
  <si>
    <t>28.2.1.</t>
  </si>
  <si>
    <t>29.</t>
  </si>
  <si>
    <t>Lazdijų Motiejaus Gustaičio gimnazija</t>
  </si>
  <si>
    <t>29.1.</t>
  </si>
  <si>
    <t>29.1.1.</t>
  </si>
  <si>
    <t>29.2.</t>
  </si>
  <si>
    <t>29.2.1.</t>
  </si>
  <si>
    <t>30.</t>
  </si>
  <si>
    <t>Lazdijų r. Lazdijų meno mokykla</t>
  </si>
  <si>
    <t>30.1.</t>
  </si>
  <si>
    <t>30.1.1.</t>
  </si>
  <si>
    <t>31.</t>
  </si>
  <si>
    <t>Lazdijų rajono savivaldybės socialinės globos centras „Židinys“</t>
  </si>
  <si>
    <t>31.1.</t>
  </si>
  <si>
    <t>31.1.1.</t>
  </si>
  <si>
    <t>32.</t>
  </si>
  <si>
    <t>Lazdijų rajono savivaldybės priešgaisrinė tarnyba</t>
  </si>
  <si>
    <t>32.1.</t>
  </si>
  <si>
    <t>32.1.1.</t>
  </si>
  <si>
    <t>Užtikrinti priešgaisrinę saugą</t>
  </si>
  <si>
    <t>33.</t>
  </si>
  <si>
    <t>Lazdijų rajono savivaldybės administracija (Finansų skyrius)</t>
  </si>
  <si>
    <t>33.1.</t>
  </si>
  <si>
    <t>33.1.1.</t>
  </si>
  <si>
    <t>IŠ VISO:</t>
  </si>
  <si>
    <t>Finansinių įsipareigojimų vykdymas (paskolų grąžinimas)</t>
  </si>
  <si>
    <t>______________________</t>
  </si>
  <si>
    <t>iš jų: turinti tikslinę paskirtį</t>
  </si>
  <si>
    <t>Iš viso pajamų iš mokesčių dalies specialioms programoms finansuoti</t>
  </si>
  <si>
    <t>III. PAJAMŲ IŠ MOKESČIŲ DALIS SPECIALIOMS PROGRAMOMS FINANSUOTI</t>
  </si>
  <si>
    <t>Programos kodas</t>
  </si>
  <si>
    <t xml:space="preserve">Asignavimų valdytojai                                                             (įstaigų vadovai)                                       </t>
  </si>
  <si>
    <t>Pajamos už atsitiktines paslaugas</t>
  </si>
  <si>
    <t>Įmokos už išlaikymą švietimo, socialinės apsaugos ir kitose įstaigose</t>
  </si>
  <si>
    <t xml:space="preserve">Iš viso  </t>
  </si>
  <si>
    <t>08.</t>
  </si>
  <si>
    <t>iš jų: turtui įsigyti</t>
  </si>
  <si>
    <t>Lazdijų mokykla-darželis „Kregždutė“</t>
  </si>
  <si>
    <t>Lazdijų mokykla-darželis „Vyturėlis“</t>
  </si>
  <si>
    <t>Lazdijų meno mokykla</t>
  </si>
  <si>
    <t>Pagal programas:</t>
  </si>
  <si>
    <t>Savivaldybės biudžeto lėšos</t>
  </si>
  <si>
    <t>Lazdijų rajono savivaldybės administracijos Šeštokų seniūnija</t>
  </si>
  <si>
    <t>Lazdijų rajono savivaldybės administracijos Šlavantų  seniūnija</t>
  </si>
  <si>
    <t>Pagal finansavimo šaltinius</t>
  </si>
  <si>
    <t>Organizuoti ir finansuoti socialinės globos paslaugas</t>
  </si>
  <si>
    <t>2.16.15.</t>
  </si>
  <si>
    <t>Organizuoti ir administruoti būsto pritaikymą neįgaliųjų poreikiams</t>
  </si>
  <si>
    <t>Sandoriams dėl turto bei įsipareigoji-mams vykdyti</t>
  </si>
  <si>
    <t>1.3.2.1.</t>
  </si>
  <si>
    <t>iš jų: už komunalinių atliekų surinkimą iš atliekų turėtojų ir atliekų tvarkymą</t>
  </si>
  <si>
    <t>Lazdijų r.Veisiejų Sigito Gedos gimnazija</t>
  </si>
  <si>
    <t>Neveiksnių asmenų būklės peržiūrėjimo komisijos darbo organizavimas</t>
  </si>
  <si>
    <t>Valstybės biudžeto specialios tikslinės dotacijos, kitos dotacijos, bendrosios dotacijos kompensacija, Valstybės investicijų programa</t>
  </si>
  <si>
    <t>Organizuoti renginius ligų prevencijos, fizinio aktyvumo skatinimo, sveikos mitybos, psichoaktyvių medžiagų vartojimo prevencijos temomis</t>
  </si>
  <si>
    <t>06 Užimtumo didinimo ir viešųjų darbų programa</t>
  </si>
  <si>
    <t>2.4.2.</t>
  </si>
  <si>
    <t>6.1.3.</t>
  </si>
  <si>
    <t>IŠ VISO PAJAMŲ</t>
  </si>
  <si>
    <t>IŠ VISO</t>
  </si>
  <si>
    <t>Paskolų grąžinimas ir jų aptarnavimas (ilgalaikių paskolų grąžinimas)</t>
  </si>
  <si>
    <t xml:space="preserve">                                             SPECIALIOJI PROGRAMA                                              </t>
  </si>
  <si>
    <t>PAJAMOS</t>
  </si>
  <si>
    <t>Mokesčiai už medžiojamų gyvūnų išteklių naudojimą</t>
  </si>
  <si>
    <t>Mokesčiai už kitus valstybinius gamtos išteklius</t>
  </si>
  <si>
    <t xml:space="preserve">                                                                              Iš viso pajamų: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</si>
  <si>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</si>
  <si>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</si>
  <si>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</si>
  <si>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</si>
  <si>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IV. Gyventojų sveikatos apsaugai</t>
  </si>
  <si>
    <t>V. Medžioklės įstatyme numatytoms priemonėms</t>
  </si>
  <si>
    <t>VI. Kitoms aplinkos apsaugos priemonėms</t>
  </si>
  <si>
    <t>Iš viso išlaidų:</t>
  </si>
  <si>
    <t xml:space="preserve">                   Visuomenės sveikatos rėmimo specialiosios programos vykdymui</t>
  </si>
  <si>
    <t xml:space="preserve">                       Kitos aplinkos apsaugos priemonės</t>
  </si>
  <si>
    <t xml:space="preserve">1. </t>
  </si>
  <si>
    <t xml:space="preserve">Savivaldybės želdynų ir želdinių apsaugai ir tvarkymui </t>
  </si>
  <si>
    <t xml:space="preserve">2. </t>
  </si>
  <si>
    <t>Medžių (krūmų) sodinukų įsigijimui ir veisimui rajono savivaldybės teritorijoje</t>
  </si>
  <si>
    <t xml:space="preserve">3. </t>
  </si>
  <si>
    <t>Kitos išlaidos</t>
  </si>
  <si>
    <t>Metelių RP gamtos mokyklos-lankytojų centro veiklai, visuomenei skirtų teritorijų priežiūrai, invazinių augalų rūšių kontrolei ir naikinimui</t>
  </si>
  <si>
    <t>Veisiejų RP kultūros paveldo ir rekreacinių teritorijų priežiūrai, švietėjiškai veiklai ir biologinės įvairovės išsaugojimui</t>
  </si>
  <si>
    <t>VĮ ,,Gamtosaugos projektų vystymo fondas“ jūrinių erelių apsaugos projektui finansuoti</t>
  </si>
  <si>
    <t>Bešeimininkių padangų atliekų transportavimo išlaidoms padengti</t>
  </si>
  <si>
    <t>Bešeimininkių šiferio atliekų transportavimo išlaidoms padengti</t>
  </si>
  <si>
    <t>Bešeimininkių šiferio atliekų sutvarkymo išlaidoms padengti</t>
  </si>
  <si>
    <t>Visuomenės sveikatos rėmimo specialiosios programos vykdymui</t>
  </si>
  <si>
    <t>Projekto ,,Baltajo ežero dalies išvalymas ir tvarkymas" monitoringo programai finansuoti</t>
  </si>
  <si>
    <t>Maudyklų vandens kokybės stebėsenos programai vykdyti</t>
  </si>
  <si>
    <t>Vilkų ūkiniams gyvūnams padarytai žalai atlyginti</t>
  </si>
  <si>
    <t>Bebraviečių ardymo valstybei nuosavybės teise priklausančiuose magistraliniuose melioracijos grioviuose darbams finansuoti</t>
  </si>
  <si>
    <t>Žemės sklypų, kuriuose medžioklė nėra uždrausta, savininkų, valdytojų ir naudotojų įgyvendinamoms priemonėms finansuoti</t>
  </si>
  <si>
    <t>Aplinkosauginiams renginiams organizuoti</t>
  </si>
  <si>
    <t xml:space="preserve">Visuomenės sveikatos rėmimo specialiajai programai vykdyti </t>
  </si>
  <si>
    <t>Visuomenės aplinkosauginio informavimo ir švietimo priemonėms vykdyti</t>
  </si>
  <si>
    <t>Kitos aplinkos apsaugos priemonės</t>
  </si>
  <si>
    <t>Išlaidos iš praėjusių metų nepanaudotų pajamų likučio</t>
  </si>
  <si>
    <t>2.12.4.</t>
  </si>
  <si>
    <t>VšĮ Lazdijų savivaldybės pirminės sveikatos priežiūros centras dalinis finansavimas</t>
  </si>
  <si>
    <t>1.3.1.</t>
  </si>
  <si>
    <t>1.3.2.</t>
  </si>
  <si>
    <t>1.4.</t>
  </si>
  <si>
    <t>1.4.1.</t>
  </si>
  <si>
    <t>1.4.2</t>
  </si>
  <si>
    <t>1.5.</t>
  </si>
  <si>
    <t>1.5.1.</t>
  </si>
  <si>
    <t>2.1</t>
  </si>
  <si>
    <t>2.1.1</t>
  </si>
  <si>
    <t>Paskolų grąžinimas ir jų aptarnavimas (palūkanos ir paskolų grąžinimas)</t>
  </si>
  <si>
    <t xml:space="preserve">LAZDIJŲ RAJONO SAVIVALDYBĖS 2017 METŲ APLINKOS APSAUGOS RĖMIMO </t>
  </si>
  <si>
    <t>LAZDIJŲ RAJONO SAVIVALDYBĖS 2017 METŲ BIUDŽETINIŲ ĮSTAIGŲ PAJAMOS</t>
  </si>
  <si>
    <t>Globėjų (rūpintojų ir įtevių) mokymas ir konsultavimas</t>
  </si>
  <si>
    <t>2.16.16.</t>
  </si>
  <si>
    <t>Valstybinėms (valstybės perduotoms savivaldybėms) funkcijoms atlikti</t>
  </si>
  <si>
    <t>Kitos tikslinės dotacijos</t>
  </si>
  <si>
    <t>Įmokos už išlaikymą švietimo ir socialinių paslaugų įstaigose</t>
  </si>
  <si>
    <t>03 Viešosios tvarkos ir visuomenės apsaugos užtikrinimo programa</t>
  </si>
  <si>
    <t>04 Turizmo ir verslo programa</t>
  </si>
  <si>
    <t>3.3.3.</t>
  </si>
  <si>
    <t>Pedagoginių darbuotojų darbo apmokėjimo sąlygoms gerinti</t>
  </si>
  <si>
    <t>2.16.17.</t>
  </si>
  <si>
    <t>PATVIRTINTA</t>
  </si>
  <si>
    <t>Praėjusių metų biudžeto nepanaudota pajamų dalis:</t>
  </si>
  <si>
    <t>Savivaldybės biudžetinių įstaigų, veiklos programų ir priemonių pavadinimai</t>
  </si>
  <si>
    <t xml:space="preserve">LAZDIJŲ RAJONO SAVIVALDYBĖS 2017 METŲ BIUDŽETO ASIGNAVIMAI PAGAL BIUDŽETINES ĮSTAIGAS, VEIKLOS PROGRAMAS IR FINANSAVIMO ŠALTINIUS </t>
  </si>
  <si>
    <t>2.11.3.</t>
  </si>
  <si>
    <t>Savivaldybės nuosavybės teise įsigyti gyvenamas patalpas</t>
  </si>
  <si>
    <t>(tūkst. eurų)</t>
  </si>
  <si>
    <t>LAZDIJŲ RAJONO SAVIVALDYBĖS 2016 METAIS NEPANAUDOTOS PAJAMŲ DALIES PASKIRSTYMAS PAGAL BIUDŽETINES ĮSTAIGAS, VEIKLOS PROGRAMAS IR FINANSAVIMO ŠALTINIUS</t>
  </si>
  <si>
    <t>2016 m. nepanaudotas pajamų likutis, iš jų:</t>
  </si>
  <si>
    <t>2.8.8.</t>
  </si>
  <si>
    <t>Vietinių kelių ir gatvių statyba, rekonstrukcija, remontas, priežiūra</t>
  </si>
  <si>
    <t>3.1.23.</t>
  </si>
  <si>
    <t>Privalomųjų biologinio saugumo priemonių neversliniuose kiauslininkystės ūkiuose taikymo įvertinimo ir sklaidos apie afrikinį kiaulių marą organizuoti</t>
  </si>
  <si>
    <t>3.3.4.</t>
  </si>
  <si>
    <t xml:space="preserve">Valstybės ir savivaldybių įstaigų darbuotojų darbo apmokėjimo įstatymui laipsniškai įgyvendinti </t>
  </si>
  <si>
    <t>3.3.5.</t>
  </si>
  <si>
    <t>Vietinės reikšmės keliams (gatvėms) tiesti, rekonstruoti, taisyti (remontuoti), prižiūrėti ir saugaus eismo sąlygoms užtikrinti</t>
  </si>
  <si>
    <t>2017 m. vasario 17 d. sprendimu Nr. 5TS-757</t>
  </si>
  <si>
    <t xml:space="preserve">(Lazdijų rajono savivaldybės tarybos </t>
  </si>
  <si>
    <t xml:space="preserve">2017 m. balandžio 28 d. sprendimo Nr. 5TS-885 </t>
  </si>
  <si>
    <t>redakcija)</t>
  </si>
  <si>
    <t>Skirti lėšas nevyriausybinių organizacijų projektams bendrafinansuoti, veiklos išlaidoms kompensuoti pagal prašymus, iš jų:</t>
  </si>
  <si>
    <t>2.14.3.2.</t>
  </si>
  <si>
    <t>2.14.3.1.</t>
  </si>
  <si>
    <t>3.3.6.</t>
  </si>
  <si>
    <t>Pedagoginių darbuotojų skaičiui optimizuoti</t>
  </si>
  <si>
    <t>2.13.3.1.</t>
  </si>
  <si>
    <t>Finansuoti pasiruošimą ir dalyvavimą Dainų šventėje, iš jų:</t>
  </si>
  <si>
    <t>2.14.2.1.</t>
  </si>
  <si>
    <t>Lazdijų Šv. Onos parapijai - pastato, esančio Dainavos g. 5A, santechnikos ir vidaus remonto išlaidoms iš dalies padengti</t>
  </si>
  <si>
    <t>2.14.2.2.</t>
  </si>
  <si>
    <t>Metelių Kristaus Atsimainymo parapijai - Metelių bažnyčios stogo dangos pakeitimo išlaidoms iš dalies padengti</t>
  </si>
  <si>
    <t>2.14.2.3.</t>
  </si>
  <si>
    <t>Seirijų Švč. M. Marijos Škaplierinės parapijai - infraraudonųjų spindulių šildymo ir kitos įrangos įsigijimo išlaidoms iš dalies padengti</t>
  </si>
  <si>
    <t>Remti religinių bendruomenių veiklą, padėti tvarkyti ir išlaikyti jų turimą materialinę bazę, iš jų:</t>
  </si>
  <si>
    <t>Veisiejų seniūnijos bendruomenės komitetui - Plenero „Veisiejų pavasaris 2017“ išlaidoms iš dalies padengti</t>
  </si>
  <si>
    <t>Lietuvos sutrikusio intelekto žmonių globos bendrijos „Viltis“ Lazdijų padaliniui - veiklos išlaidoms iš dalies padengti</t>
  </si>
  <si>
    <t>Lazdijų sporto klubui „Sakalas“- veiklos išlaidoms iš dalies padengti</t>
  </si>
  <si>
    <t>Veisiejų seniūnijos bendruomenės komitetui - projekto „Veisiejų seniūnijos bendruomenės vaikų dienos centras“ išlaidoms iš dalies padengti</t>
  </si>
  <si>
    <t>Varnėnų kaimo bendruomenei - projekto „Varnėnų kaimo bendruomenės vaikų dienos centras“ išlaidoms iš dalies padengti</t>
  </si>
  <si>
    <t>Krosnos miestelio bendruomenės komitetui - projekto „Krosnos bendruomenės vaikų dienos centras „Naminukai“ išlaidoms iš dalies padengti</t>
  </si>
  <si>
    <t>Barčių kaimo bendruomenei - projekto „Prisėdai šalia“ išlaidoms iš dalies padengti</t>
  </si>
  <si>
    <t>2.14.3.3.</t>
  </si>
  <si>
    <t>2.14.3.4.</t>
  </si>
  <si>
    <t>2.14.3.5.</t>
  </si>
  <si>
    <t>2.14.3.6.</t>
  </si>
  <si>
    <t>2.14.3.7.</t>
  </si>
  <si>
    <t>2.15.7.</t>
  </si>
  <si>
    <t>Optimizuoti pedagoginių darbuotojų skaičių</t>
  </si>
  <si>
    <t>18.1.2.</t>
  </si>
  <si>
    <t>20.1.2.</t>
  </si>
  <si>
    <t>25.1.2.</t>
  </si>
  <si>
    <t>27.1.2.</t>
  </si>
  <si>
    <t>2017 m. birželio   d. sprendimo Nr. 5TS-</t>
  </si>
  <si>
    <t>2017 m. birželio     d. sprendimo Nr. 5TS-</t>
  </si>
  <si>
    <t>Lazdijų meno mokyklai - merginų ir jaunių šokių kolektyvų tautiniams kostiumams įsigyti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</si>
</sst>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15" fillId="0" borderId="0"/>
    <xf numFmtId="0" fontId="4" fillId="0" borderId="0"/>
    <xf numFmtId="0" fontId="17" fillId="0" borderId="0"/>
  </cellStyleXfs>
  <cellXfs count="218">
    <xf numFmtId="0" fontId="0" fillId="0" borderId="0" xfId="0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 applyAlignment="1">
      <alignment horizontal="justify"/>
    </xf>
    <xf numFmtId="0" fontId="3" fillId="0" borderId="0" xfId="0" applyFont="1" applyFill="1"/>
    <xf numFmtId="0" fontId="3" fillId="0" borderId="2" xfId="0" applyFont="1" applyFill="1" applyBorder="1" applyAlignment="1">
      <alignment horizontal="justify"/>
    </xf>
    <xf numFmtId="49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justify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/>
    </xf>
    <xf numFmtId="0" fontId="5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Protection="1">
      <protection locked="0"/>
    </xf>
    <xf numFmtId="0" fontId="9" fillId="0" borderId="2" xfId="1" applyFont="1" applyFill="1" applyBorder="1" applyAlignment="1" applyProtection="1">
      <alignment wrapText="1"/>
      <protection locked="0"/>
    </xf>
    <xf numFmtId="0" fontId="10" fillId="0" borderId="2" xfId="1" applyFont="1" applyFill="1" applyBorder="1" applyAlignment="1" applyProtection="1">
      <alignment wrapText="1"/>
      <protection locked="0"/>
    </xf>
    <xf numFmtId="0" fontId="8" fillId="0" borderId="2" xfId="1" applyFont="1" applyFill="1" applyBorder="1" applyAlignment="1" applyProtection="1">
      <alignment wrapText="1"/>
      <protection locked="0"/>
    </xf>
    <xf numFmtId="0" fontId="5" fillId="0" borderId="2" xfId="1" applyFont="1" applyFill="1" applyBorder="1" applyAlignment="1" applyProtection="1">
      <alignment wrapText="1"/>
      <protection locked="0"/>
    </xf>
    <xf numFmtId="164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1" applyFont="1" applyFill="1" applyBorder="1" applyAlignment="1" applyProtection="1">
      <alignment wrapText="1"/>
      <protection locked="0"/>
    </xf>
    <xf numFmtId="0" fontId="5" fillId="0" borderId="2" xfId="1" applyFont="1" applyFill="1" applyBorder="1" applyAlignment="1" applyProtection="1">
      <alignment horizontal="left" wrapText="1"/>
      <protection locked="0"/>
    </xf>
    <xf numFmtId="0" fontId="5" fillId="0" borderId="2" xfId="1" applyFont="1" applyFill="1" applyBorder="1" applyAlignment="1" applyProtection="1">
      <alignment vertical="top" wrapText="1"/>
      <protection locked="0"/>
    </xf>
    <xf numFmtId="0" fontId="11" fillId="0" borderId="2" xfId="2" applyFont="1" applyFill="1" applyBorder="1" applyAlignment="1" applyProtection="1">
      <alignment wrapText="1"/>
      <protection locked="0"/>
    </xf>
    <xf numFmtId="0" fontId="12" fillId="0" borderId="2" xfId="2" applyFont="1" applyFill="1" applyBorder="1" applyAlignment="1" applyProtection="1">
      <alignment wrapText="1"/>
      <protection locked="0"/>
    </xf>
    <xf numFmtId="0" fontId="8" fillId="0" borderId="2" xfId="1" applyFont="1" applyFill="1" applyBorder="1" applyAlignment="1" applyProtection="1">
      <alignment horizontal="right" wrapText="1"/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wrapText="1"/>
      <protection locked="0"/>
    </xf>
    <xf numFmtId="164" fontId="5" fillId="0" borderId="0" xfId="1" applyNumberFormat="1" applyFont="1" applyFill="1" applyBorder="1" applyAlignment="1" applyProtection="1">
      <alignment horizontal="center" wrapText="1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Protection="1">
      <protection locked="0"/>
    </xf>
    <xf numFmtId="0" fontId="5" fillId="0" borderId="0" xfId="1" quotePrefix="1" applyFont="1" applyFill="1" applyBorder="1" applyProtection="1">
      <protection locked="0"/>
    </xf>
    <xf numFmtId="0" fontId="6" fillId="0" borderId="0" xfId="0" applyFont="1" applyFill="1"/>
    <xf numFmtId="49" fontId="6" fillId="0" borderId="3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/>
    <xf numFmtId="0" fontId="6" fillId="0" borderId="2" xfId="0" applyFont="1" applyFill="1" applyBorder="1" applyAlignment="1">
      <alignment horizontal="left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wrapText="1"/>
    </xf>
    <xf numFmtId="164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/>
    <xf numFmtId="164" fontId="13" fillId="0" borderId="8" xfId="0" applyNumberFormat="1" applyFont="1" applyFill="1" applyBorder="1" applyAlignment="1">
      <alignment horizontal="right" vertical="center" wrapText="1"/>
    </xf>
    <xf numFmtId="164" fontId="13" fillId="0" borderId="8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64" fontId="13" fillId="0" borderId="7" xfId="0" applyNumberFormat="1" applyFont="1" applyFill="1" applyBorder="1" applyAlignment="1">
      <alignment horizontal="right"/>
    </xf>
    <xf numFmtId="164" fontId="8" fillId="0" borderId="2" xfId="1" applyNumberFormat="1" applyFont="1" applyFill="1" applyBorder="1" applyAlignment="1" applyProtection="1">
      <alignment horizontal="right" wrapText="1"/>
    </xf>
    <xf numFmtId="164" fontId="5" fillId="0" borderId="2" xfId="1" applyNumberFormat="1" applyFont="1" applyFill="1" applyBorder="1" applyAlignment="1" applyProtection="1">
      <alignment horizontal="right" wrapText="1"/>
    </xf>
    <xf numFmtId="164" fontId="5" fillId="0" borderId="2" xfId="1" applyNumberFormat="1" applyFont="1" applyFill="1" applyBorder="1" applyAlignment="1" applyProtection="1">
      <alignment horizontal="right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8" fillId="0" borderId="2" xfId="1" applyNumberFormat="1" applyFont="1" applyFill="1" applyBorder="1" applyAlignment="1" applyProtection="1">
      <alignment horizontal="right"/>
    </xf>
    <xf numFmtId="164" fontId="8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Fill="1" applyBorder="1" applyAlignment="1" applyProtection="1">
      <alignment horizontal="right" wrapText="1"/>
      <protection locked="0"/>
    </xf>
    <xf numFmtId="0" fontId="9" fillId="0" borderId="2" xfId="1" applyFont="1" applyFill="1" applyBorder="1" applyAlignment="1" applyProtection="1">
      <alignment horizontal="left" wrapText="1"/>
      <protection locked="0"/>
    </xf>
    <xf numFmtId="0" fontId="9" fillId="0" borderId="2" xfId="1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 wrapText="1"/>
      <protection locked="0"/>
    </xf>
    <xf numFmtId="49" fontId="8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/>
      <protection locked="0"/>
    </xf>
    <xf numFmtId="0" fontId="5" fillId="0" borderId="2" xfId="1" applyFont="1" applyFill="1" applyBorder="1" applyAlignment="1" applyProtection="1">
      <alignment horizontal="left"/>
      <protection locked="0"/>
    </xf>
    <xf numFmtId="14" fontId="5" fillId="0" borderId="2" xfId="1" quotePrefix="1" applyNumberFormat="1" applyFont="1" applyFill="1" applyBorder="1" applyAlignment="1" applyProtection="1">
      <alignment horizontal="left"/>
      <protection locked="0"/>
    </xf>
    <xf numFmtId="49" fontId="8" fillId="0" borderId="2" xfId="1" applyNumberFormat="1" applyFont="1" applyFill="1" applyBorder="1" applyAlignment="1" applyProtection="1">
      <alignment horizontal="left"/>
      <protection locked="0"/>
    </xf>
    <xf numFmtId="49" fontId="5" fillId="0" borderId="2" xfId="1" applyNumberFormat="1" applyFont="1" applyFill="1" applyBorder="1" applyAlignment="1" applyProtection="1">
      <alignment horizontal="left"/>
      <protection locked="0"/>
    </xf>
    <xf numFmtId="49" fontId="14" fillId="0" borderId="2" xfId="1" applyNumberFormat="1" applyFont="1" applyFill="1" applyBorder="1" applyAlignment="1" applyProtection="1">
      <alignment horizontal="left"/>
      <protection locked="0"/>
    </xf>
    <xf numFmtId="0" fontId="14" fillId="0" borderId="2" xfId="1" applyFont="1" applyFill="1" applyBorder="1" applyAlignment="1" applyProtection="1">
      <alignment horizontal="left" wrapText="1"/>
      <protection locked="0"/>
    </xf>
    <xf numFmtId="164" fontId="14" fillId="0" borderId="2" xfId="1" applyNumberFormat="1" applyFont="1" applyFill="1" applyBorder="1" applyAlignment="1" applyProtection="1">
      <alignment horizontal="right" wrapText="1"/>
      <protection locked="0"/>
    </xf>
    <xf numFmtId="0" fontId="14" fillId="0" borderId="0" xfId="1" applyFont="1" applyFill="1" applyBorder="1" applyProtection="1"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2" fillId="0" borderId="0" xfId="3" applyFont="1" applyFill="1"/>
    <xf numFmtId="0" fontId="2" fillId="0" borderId="0" xfId="3" applyFont="1" applyFill="1" applyAlignment="1"/>
    <xf numFmtId="0" fontId="2" fillId="0" borderId="0" xfId="3" applyFont="1" applyFill="1" applyAlignment="1">
      <alignment horizontal="left"/>
    </xf>
    <xf numFmtId="0" fontId="3" fillId="0" borderId="0" xfId="3" applyFont="1" applyFill="1" applyAlignment="1"/>
    <xf numFmtId="0" fontId="2" fillId="0" borderId="3" xfId="3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2" fillId="0" borderId="8" xfId="3" applyFont="1" applyFill="1" applyBorder="1" applyAlignment="1">
      <alignment horizontal="center"/>
    </xf>
    <xf numFmtId="0" fontId="2" fillId="0" borderId="24" xfId="3" applyFont="1" applyFill="1" applyBorder="1" applyAlignment="1">
      <alignment horizontal="center"/>
    </xf>
    <xf numFmtId="0" fontId="2" fillId="0" borderId="4" xfId="3" applyFont="1" applyFill="1" applyBorder="1" applyAlignment="1">
      <alignment horizontal="left"/>
    </xf>
    <xf numFmtId="0" fontId="2" fillId="0" borderId="15" xfId="3" applyFont="1" applyFill="1" applyBorder="1" applyAlignment="1">
      <alignment horizontal="left" wrapText="1"/>
    </xf>
    <xf numFmtId="0" fontId="2" fillId="0" borderId="15" xfId="3" applyFont="1" applyFill="1" applyBorder="1" applyAlignment="1">
      <alignment horizontal="left"/>
    </xf>
    <xf numFmtId="0" fontId="2" fillId="0" borderId="15" xfId="3" applyFont="1" applyFill="1" applyBorder="1" applyAlignment="1"/>
    <xf numFmtId="0" fontId="2" fillId="0" borderId="14" xfId="3" applyFont="1" applyFill="1" applyBorder="1" applyAlignment="1">
      <alignment horizontal="left"/>
    </xf>
    <xf numFmtId="164" fontId="3" fillId="0" borderId="2" xfId="3" applyNumberFormat="1" applyFont="1" applyFill="1" applyBorder="1" applyAlignment="1">
      <alignment horizontal="right"/>
    </xf>
    <xf numFmtId="164" fontId="2" fillId="0" borderId="17" xfId="3" applyNumberFormat="1" applyFont="1" applyFill="1" applyBorder="1" applyAlignment="1">
      <alignment horizontal="right"/>
    </xf>
    <xf numFmtId="164" fontId="2" fillId="0" borderId="2" xfId="3" applyNumberFormat="1" applyFont="1" applyFill="1" applyBorder="1" applyAlignment="1">
      <alignment horizontal="right"/>
    </xf>
    <xf numFmtId="0" fontId="2" fillId="0" borderId="2" xfId="3" applyFont="1" applyFill="1" applyBorder="1" applyAlignment="1">
      <alignment horizontal="right"/>
    </xf>
    <xf numFmtId="164" fontId="3" fillId="0" borderId="17" xfId="3" applyNumberFormat="1" applyFont="1" applyFill="1" applyBorder="1" applyAlignment="1">
      <alignment horizontal="right"/>
    </xf>
    <xf numFmtId="164" fontId="3" fillId="0" borderId="14" xfId="3" applyNumberFormat="1" applyFont="1" applyFill="1" applyBorder="1" applyAlignment="1">
      <alignment horizontal="right"/>
    </xf>
    <xf numFmtId="164" fontId="2" fillId="0" borderId="22" xfId="3" applyNumberFormat="1" applyFont="1" applyFill="1" applyBorder="1" applyAlignment="1">
      <alignment horizontal="right"/>
    </xf>
    <xf numFmtId="164" fontId="2" fillId="0" borderId="14" xfId="3" applyNumberFormat="1" applyFont="1" applyFill="1" applyBorder="1" applyAlignment="1">
      <alignment horizontal="right"/>
    </xf>
    <xf numFmtId="164" fontId="3" fillId="0" borderId="23" xfId="3" applyNumberFormat="1" applyFont="1" applyFill="1" applyBorder="1" applyAlignment="1">
      <alignment horizontal="right"/>
    </xf>
    <xf numFmtId="0" fontId="2" fillId="0" borderId="26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/>
    <xf numFmtId="0" fontId="2" fillId="0" borderId="11" xfId="3" applyFont="1" applyFill="1" applyBorder="1" applyAlignment="1"/>
    <xf numFmtId="0" fontId="2" fillId="0" borderId="12" xfId="3" applyFont="1" applyFill="1" applyBorder="1" applyAlignment="1"/>
    <xf numFmtId="0" fontId="2" fillId="0" borderId="13" xfId="3" applyFont="1" applyFill="1" applyBorder="1" applyAlignment="1"/>
    <xf numFmtId="0" fontId="3" fillId="0" borderId="12" xfId="3" applyFont="1" applyFill="1" applyBorder="1" applyAlignment="1"/>
    <xf numFmtId="0" fontId="3" fillId="0" borderId="13" xfId="3" applyFont="1" applyFill="1" applyBorder="1" applyAlignment="1"/>
    <xf numFmtId="0" fontId="2" fillId="0" borderId="15" xfId="3" applyFont="1" applyFill="1" applyBorder="1" applyAlignment="1">
      <alignment wrapText="1"/>
    </xf>
    <xf numFmtId="0" fontId="2" fillId="0" borderId="15" xfId="3" applyFont="1" applyFill="1" applyBorder="1" applyAlignment="1">
      <alignment vertical="center" wrapText="1"/>
    </xf>
    <xf numFmtId="0" fontId="2" fillId="0" borderId="4" xfId="3" applyFont="1" applyFill="1" applyBorder="1" applyAlignment="1">
      <alignment vertical="center" wrapText="1"/>
    </xf>
    <xf numFmtId="0" fontId="2" fillId="0" borderId="4" xfId="4" applyFont="1" applyFill="1" applyBorder="1" applyAlignment="1">
      <alignment vertical="center" wrapText="1"/>
    </xf>
    <xf numFmtId="0" fontId="2" fillId="0" borderId="15" xfId="3" applyFont="1" applyFill="1" applyBorder="1" applyAlignment="1">
      <alignment vertical="top" wrapText="1"/>
    </xf>
    <xf numFmtId="0" fontId="16" fillId="0" borderId="0" xfId="3" applyFont="1" applyFill="1" applyBorder="1" applyAlignment="1"/>
    <xf numFmtId="0" fontId="2" fillId="0" borderId="4" xfId="3" applyFont="1" applyFill="1" applyBorder="1" applyAlignment="1"/>
    <xf numFmtId="0" fontId="2" fillId="0" borderId="4" xfId="0" applyFont="1" applyBorder="1" applyAlignment="1">
      <alignment vertical="center" wrapText="1"/>
    </xf>
    <xf numFmtId="164" fontId="3" fillId="0" borderId="22" xfId="3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vertical="center" wrapText="1"/>
    </xf>
    <xf numFmtId="0" fontId="2" fillId="0" borderId="25" xfId="3" applyFont="1" applyFill="1" applyBorder="1" applyAlignment="1">
      <alignment horizontal="left"/>
    </xf>
    <xf numFmtId="0" fontId="2" fillId="0" borderId="3" xfId="0" applyFont="1" applyFill="1" applyBorder="1"/>
    <xf numFmtId="0" fontId="2" fillId="0" borderId="2" xfId="0" applyFont="1" applyFill="1" applyBorder="1" applyAlignment="1">
      <alignment horizontal="justify"/>
    </xf>
    <xf numFmtId="0" fontId="2" fillId="0" borderId="2" xfId="0" applyFont="1" applyFill="1" applyBorder="1"/>
    <xf numFmtId="164" fontId="3" fillId="0" borderId="7" xfId="0" applyNumberFormat="1" applyFont="1" applyFill="1" applyBorder="1" applyAlignment="1">
      <alignment horizontal="right"/>
    </xf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horizontal="justify"/>
    </xf>
    <xf numFmtId="49" fontId="3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18" fillId="0" borderId="2" xfId="1" applyNumberFormat="1" applyFont="1" applyFill="1" applyBorder="1" applyAlignment="1" applyProtection="1">
      <alignment horizontal="left"/>
      <protection locked="0"/>
    </xf>
    <xf numFmtId="0" fontId="18" fillId="0" borderId="2" xfId="1" applyFont="1" applyFill="1" applyBorder="1" applyAlignment="1" applyProtection="1">
      <alignment wrapText="1"/>
      <protection locked="0"/>
    </xf>
    <xf numFmtId="164" fontId="18" fillId="0" borderId="2" xfId="1" applyNumberFormat="1" applyFont="1" applyFill="1" applyBorder="1" applyAlignment="1" applyProtection="1">
      <alignment horizontal="right" wrapText="1"/>
    </xf>
    <xf numFmtId="164" fontId="18" fillId="0" borderId="2" xfId="1" applyNumberFormat="1" applyFont="1" applyFill="1" applyBorder="1" applyAlignment="1" applyProtection="1">
      <alignment horizontal="right"/>
    </xf>
    <xf numFmtId="164" fontId="18" fillId="0" borderId="2" xfId="1" applyNumberFormat="1" applyFont="1" applyFill="1" applyBorder="1" applyAlignment="1" applyProtection="1">
      <alignment horizontal="right"/>
      <protection locked="0"/>
    </xf>
    <xf numFmtId="0" fontId="18" fillId="0" borderId="0" xfId="1" applyFont="1" applyFill="1" applyBorder="1" applyProtection="1">
      <protection locked="0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justify"/>
    </xf>
    <xf numFmtId="49" fontId="3" fillId="0" borderId="8" xfId="0" applyNumberFormat="1" applyFont="1" applyFill="1" applyBorder="1" applyAlignment="1">
      <alignment horizontal="justify"/>
    </xf>
    <xf numFmtId="49" fontId="3" fillId="0" borderId="2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 wrapTex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3" fillId="0" borderId="18" xfId="3" applyFont="1" applyFill="1" applyBorder="1" applyAlignment="1">
      <alignment horizontal="center"/>
    </xf>
    <xf numFmtId="0" fontId="3" fillId="0" borderId="19" xfId="3" applyFont="1" applyFill="1" applyBorder="1" applyAlignment="1">
      <alignment horizontal="center"/>
    </xf>
    <xf numFmtId="164" fontId="3" fillId="0" borderId="2" xfId="3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164" fontId="2" fillId="0" borderId="2" xfId="5" applyNumberFormat="1" applyFont="1" applyBorder="1" applyAlignment="1">
      <alignment horizontal="right"/>
    </xf>
    <xf numFmtId="0" fontId="3" fillId="0" borderId="15" xfId="3" applyFont="1" applyFill="1" applyBorder="1" applyAlignment="1">
      <alignment horizontal="left"/>
    </xf>
    <xf numFmtId="0" fontId="3" fillId="0" borderId="16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/>
    </xf>
    <xf numFmtId="0" fontId="3" fillId="0" borderId="21" xfId="3" applyFont="1" applyFill="1" applyBorder="1" applyAlignment="1">
      <alignment horizontal="left"/>
    </xf>
    <xf numFmtId="0" fontId="3" fillId="0" borderId="15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left" wrapText="1"/>
    </xf>
    <xf numFmtId="0" fontId="3" fillId="0" borderId="16" xfId="3" applyFont="1" applyFill="1" applyBorder="1" applyAlignment="1">
      <alignment horizontal="left" wrapText="1"/>
    </xf>
    <xf numFmtId="0" fontId="3" fillId="0" borderId="18" xfId="3" applyFont="1" applyFill="1" applyBorder="1" applyAlignment="1">
      <alignment horizontal="left"/>
    </xf>
    <xf numFmtId="0" fontId="3" fillId="0" borderId="19" xfId="3" applyFont="1" applyFill="1" applyBorder="1" applyAlignment="1">
      <alignment horizontal="left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/>
      <protection locked="0"/>
    </xf>
  </cellXfs>
  <cellStyles count="6">
    <cellStyle name="Įprastas" xfId="0" builtinId="0"/>
    <cellStyle name="Įprastas 2" xfId="2"/>
    <cellStyle name="Įprastas 2 2" xfId="4"/>
    <cellStyle name="Įprastas 3" xfId="3"/>
    <cellStyle name="Įprastas 4" xfId="5"/>
    <cellStyle name="Pa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Kontroles%20ir%20audito%20tarnyb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BIP_2016123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Administracija_Spec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Likuci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Administracija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Biudzeto%20tikslinima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MK%20paskirstymas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Seniunijos_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VSB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Darbo%20dok.%202017%20metu%20biudzetui_SB%203_201701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Nemokamas%20maitinimas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641/Valstybes%20funkciju%20l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PresumedMonthlySalary"/>
    </sheetNames>
    <sheetDataSet>
      <sheetData sheetId="0">
        <row r="3">
          <cell r="H3">
            <v>61637.002418000004</v>
          </cell>
        </row>
        <row r="12">
          <cell r="T12">
            <v>42973</v>
          </cell>
        </row>
        <row r="16">
          <cell r="S16">
            <v>1520</v>
          </cell>
        </row>
        <row r="18">
          <cell r="S18">
            <v>2000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suvestine"/>
      <sheetName val="Specialiųjų programų lėšų atask"/>
    </sheetNames>
    <sheetDataSet>
      <sheetData sheetId="0">
        <row r="12">
          <cell r="Q12">
            <v>107.68</v>
          </cell>
        </row>
        <row r="14">
          <cell r="Q14">
            <v>448.61</v>
          </cell>
        </row>
        <row r="20">
          <cell r="Q20">
            <v>4150.3900000000003</v>
          </cell>
        </row>
        <row r="22">
          <cell r="Q22">
            <v>2061.42</v>
          </cell>
        </row>
        <row r="23">
          <cell r="Q23">
            <v>576.46</v>
          </cell>
        </row>
      </sheetData>
      <sheetData sheetId="1">
        <row r="11">
          <cell r="E11">
            <v>35000</v>
          </cell>
        </row>
        <row r="12">
          <cell r="E12">
            <v>33085.449999999997</v>
          </cell>
        </row>
        <row r="13">
          <cell r="E13">
            <v>32000</v>
          </cell>
        </row>
        <row r="14">
          <cell r="E14">
            <v>9440.92</v>
          </cell>
          <cell r="F14">
            <v>2192.2800000000002</v>
          </cell>
        </row>
        <row r="15">
          <cell r="E15">
            <v>1780</v>
          </cell>
          <cell r="F15">
            <v>500</v>
          </cell>
        </row>
        <row r="16">
          <cell r="E16">
            <v>4100.5599999999995</v>
          </cell>
          <cell r="F16">
            <v>400</v>
          </cell>
        </row>
        <row r="17">
          <cell r="E17">
            <v>200</v>
          </cell>
        </row>
        <row r="18">
          <cell r="E18">
            <v>6000</v>
          </cell>
          <cell r="F18">
            <v>200</v>
          </cell>
        </row>
        <row r="19">
          <cell r="E19">
            <v>400</v>
          </cell>
          <cell r="F19">
            <v>200</v>
          </cell>
        </row>
        <row r="20">
          <cell r="E20">
            <v>500</v>
          </cell>
          <cell r="F20">
            <v>100</v>
          </cell>
        </row>
        <row r="21">
          <cell r="E21">
            <v>11800</v>
          </cell>
          <cell r="F21">
            <v>120</v>
          </cell>
        </row>
        <row r="22">
          <cell r="E22">
            <v>30000</v>
          </cell>
          <cell r="F22">
            <v>30000</v>
          </cell>
        </row>
        <row r="23">
          <cell r="E23">
            <v>31008</v>
          </cell>
        </row>
        <row r="24">
          <cell r="E24">
            <v>770</v>
          </cell>
          <cell r="F24">
            <v>70</v>
          </cell>
        </row>
        <row r="25">
          <cell r="E25">
            <v>2000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F2_Summary"/>
    </sheetNames>
    <sheetDataSet>
      <sheetData sheetId="0">
        <row r="10">
          <cell r="G10">
            <v>38139.949999999997</v>
          </cell>
        </row>
        <row r="11">
          <cell r="G11">
            <v>309.84000000000015</v>
          </cell>
        </row>
        <row r="18">
          <cell r="G18">
            <v>38204.800000000003</v>
          </cell>
        </row>
        <row r="21">
          <cell r="G21">
            <v>8472.49</v>
          </cell>
        </row>
        <row r="22">
          <cell r="G22">
            <v>18140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 uzbapyv"/>
      <sheetName val="Pries korekciją su uzb.apyv"/>
      <sheetName val="Po korekcijos su uzb. apyv"/>
    </sheetNames>
    <sheetDataSet>
      <sheetData sheetId="0"/>
      <sheetData sheetId="1"/>
      <sheetData sheetId="2">
        <row r="22">
          <cell r="F22">
            <v>35245.550000000003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F2_Summary"/>
      <sheetName val="SB"/>
      <sheetName val="VB"/>
      <sheetName val="AARP"/>
    </sheetNames>
    <sheetDataSet>
      <sheetData sheetId="0">
        <row r="10">
          <cell r="F10">
            <v>133450</v>
          </cell>
        </row>
        <row r="12">
          <cell r="F12">
            <v>88359</v>
          </cell>
        </row>
        <row r="19">
          <cell r="F19">
            <v>126433</v>
          </cell>
        </row>
        <row r="21">
          <cell r="F21">
            <v>1689001.87</v>
          </cell>
        </row>
        <row r="22">
          <cell r="F22">
            <v>824200</v>
          </cell>
        </row>
        <row r="40">
          <cell r="F40">
            <v>75400</v>
          </cell>
        </row>
        <row r="43">
          <cell r="F43">
            <v>132200</v>
          </cell>
        </row>
        <row r="53">
          <cell r="F53">
            <v>194500</v>
          </cell>
        </row>
        <row r="55">
          <cell r="F55">
            <v>15960</v>
          </cell>
        </row>
        <row r="61">
          <cell r="F61">
            <v>59000</v>
          </cell>
        </row>
        <row r="65">
          <cell r="F65">
            <v>96500</v>
          </cell>
        </row>
        <row r="68">
          <cell r="F68">
            <v>600</v>
          </cell>
        </row>
        <row r="70">
          <cell r="F70">
            <v>93000</v>
          </cell>
        </row>
        <row r="72">
          <cell r="F72">
            <v>121810</v>
          </cell>
        </row>
        <row r="75">
          <cell r="F75">
            <v>10980</v>
          </cell>
        </row>
        <row r="78">
          <cell r="F78">
            <v>41400</v>
          </cell>
        </row>
        <row r="79">
          <cell r="F79">
            <v>97660</v>
          </cell>
        </row>
        <row r="80">
          <cell r="F80">
            <v>57000</v>
          </cell>
        </row>
        <row r="83">
          <cell r="F83">
            <v>44000</v>
          </cell>
        </row>
        <row r="88">
          <cell r="F88">
            <v>500000</v>
          </cell>
        </row>
        <row r="89">
          <cell r="F89">
            <v>10000</v>
          </cell>
        </row>
        <row r="92">
          <cell r="F92">
            <v>62900</v>
          </cell>
        </row>
        <row r="95">
          <cell r="F95">
            <v>5616</v>
          </cell>
        </row>
        <row r="97">
          <cell r="F97">
            <v>7362</v>
          </cell>
        </row>
        <row r="99">
          <cell r="F99">
            <v>5960</v>
          </cell>
        </row>
        <row r="101">
          <cell r="F101">
            <v>7800</v>
          </cell>
        </row>
        <row r="103">
          <cell r="F103">
            <v>4734</v>
          </cell>
        </row>
        <row r="107">
          <cell r="F107">
            <v>6200</v>
          </cell>
        </row>
        <row r="109">
          <cell r="F109">
            <v>9027</v>
          </cell>
        </row>
        <row r="111">
          <cell r="F111">
            <v>11823</v>
          </cell>
        </row>
        <row r="113">
          <cell r="F113">
            <v>18323</v>
          </cell>
        </row>
        <row r="115">
          <cell r="F115">
            <v>24000</v>
          </cell>
        </row>
        <row r="117">
          <cell r="F117">
            <v>229</v>
          </cell>
        </row>
        <row r="119">
          <cell r="F119">
            <v>300</v>
          </cell>
        </row>
        <row r="121">
          <cell r="F121">
            <v>459</v>
          </cell>
        </row>
        <row r="123">
          <cell r="F123">
            <v>600</v>
          </cell>
        </row>
        <row r="125">
          <cell r="F125">
            <v>7900</v>
          </cell>
        </row>
        <row r="129">
          <cell r="F129">
            <v>12300</v>
          </cell>
        </row>
        <row r="131">
          <cell r="F131">
            <v>5100</v>
          </cell>
        </row>
        <row r="135">
          <cell r="F135">
            <v>7500</v>
          </cell>
        </row>
        <row r="137">
          <cell r="F137">
            <v>3832</v>
          </cell>
        </row>
        <row r="142">
          <cell r="F142">
            <v>13800</v>
          </cell>
        </row>
        <row r="144">
          <cell r="F144">
            <v>33547</v>
          </cell>
        </row>
        <row r="153">
          <cell r="F153">
            <v>49500</v>
          </cell>
        </row>
        <row r="155">
          <cell r="F155">
            <v>9919</v>
          </cell>
        </row>
        <row r="158">
          <cell r="F158">
            <v>12900</v>
          </cell>
        </row>
        <row r="163">
          <cell r="F163">
            <v>243000</v>
          </cell>
        </row>
        <row r="165">
          <cell r="F165">
            <v>580</v>
          </cell>
        </row>
        <row r="168">
          <cell r="F168">
            <v>10600</v>
          </cell>
        </row>
        <row r="170">
          <cell r="F170">
            <v>10810</v>
          </cell>
        </row>
        <row r="174">
          <cell r="F174">
            <v>230600</v>
          </cell>
        </row>
        <row r="177">
          <cell r="F177">
            <v>300</v>
          </cell>
        </row>
        <row r="180">
          <cell r="F180">
            <v>1700</v>
          </cell>
        </row>
        <row r="183">
          <cell r="F183">
            <v>98548</v>
          </cell>
        </row>
        <row r="186">
          <cell r="F186">
            <v>288932</v>
          </cell>
        </row>
        <row r="188">
          <cell r="F188">
            <v>3195</v>
          </cell>
        </row>
        <row r="191">
          <cell r="F191">
            <v>8668</v>
          </cell>
        </row>
        <row r="194">
          <cell r="F194">
            <v>2000</v>
          </cell>
        </row>
        <row r="197">
          <cell r="F197">
            <v>45600</v>
          </cell>
        </row>
        <row r="202">
          <cell r="F202">
            <v>55000</v>
          </cell>
        </row>
        <row r="205">
          <cell r="F205">
            <v>20000</v>
          </cell>
        </row>
        <row r="208">
          <cell r="F208">
            <v>15000</v>
          </cell>
        </row>
        <row r="214">
          <cell r="F214">
            <v>82220</v>
          </cell>
        </row>
        <row r="219">
          <cell r="F219">
            <v>122430</v>
          </cell>
        </row>
        <row r="225">
          <cell r="F225">
            <v>20000</v>
          </cell>
        </row>
        <row r="232">
          <cell r="F232">
            <v>80000</v>
          </cell>
        </row>
        <row r="234">
          <cell r="F234">
            <v>10450</v>
          </cell>
        </row>
        <row r="236">
          <cell r="F236">
            <v>13687</v>
          </cell>
        </row>
        <row r="240">
          <cell r="F240">
            <v>20000</v>
          </cell>
        </row>
        <row r="242">
          <cell r="F242">
            <v>30000</v>
          </cell>
        </row>
        <row r="243">
          <cell r="F243">
            <v>118700</v>
          </cell>
        </row>
        <row r="248">
          <cell r="F248">
            <v>100000</v>
          </cell>
        </row>
        <row r="251">
          <cell r="F251">
            <v>7000</v>
          </cell>
        </row>
        <row r="254">
          <cell r="F254">
            <v>103000</v>
          </cell>
        </row>
        <row r="260">
          <cell r="F260">
            <v>3000</v>
          </cell>
        </row>
        <row r="263">
          <cell r="F263">
            <v>15180</v>
          </cell>
        </row>
        <row r="270">
          <cell r="F270">
            <v>312900</v>
          </cell>
        </row>
        <row r="273">
          <cell r="F273">
            <v>115232.9</v>
          </cell>
        </row>
        <row r="275">
          <cell r="F275">
            <v>6184</v>
          </cell>
        </row>
        <row r="277">
          <cell r="F277">
            <v>8100</v>
          </cell>
        </row>
        <row r="283">
          <cell r="F283">
            <v>79500</v>
          </cell>
        </row>
        <row r="287">
          <cell r="F287">
            <v>71149.998399999997</v>
          </cell>
        </row>
        <row r="290">
          <cell r="F290">
            <v>4500</v>
          </cell>
        </row>
        <row r="301">
          <cell r="F301">
            <v>17700</v>
          </cell>
        </row>
        <row r="304">
          <cell r="F304">
            <v>149300</v>
          </cell>
        </row>
        <row r="307">
          <cell r="F307">
            <v>61080</v>
          </cell>
        </row>
        <row r="310">
          <cell r="F310">
            <v>8800</v>
          </cell>
        </row>
        <row r="313">
          <cell r="F313">
            <v>70000</v>
          </cell>
        </row>
        <row r="316">
          <cell r="F316">
            <v>47000</v>
          </cell>
        </row>
        <row r="322">
          <cell r="F322">
            <v>3000</v>
          </cell>
        </row>
        <row r="325">
          <cell r="F325">
            <v>10000</v>
          </cell>
        </row>
        <row r="330">
          <cell r="F330">
            <v>2787</v>
          </cell>
        </row>
        <row r="332">
          <cell r="F332">
            <v>3650</v>
          </cell>
        </row>
        <row r="335">
          <cell r="F335">
            <v>300</v>
          </cell>
        </row>
        <row r="337">
          <cell r="F337">
            <v>6000</v>
          </cell>
        </row>
        <row r="339">
          <cell r="F339">
            <v>7860</v>
          </cell>
        </row>
        <row r="342">
          <cell r="F342">
            <v>315000</v>
          </cell>
        </row>
        <row r="345">
          <cell r="F345">
            <v>4000</v>
          </cell>
        </row>
        <row r="348">
          <cell r="F348">
            <v>5000</v>
          </cell>
        </row>
        <row r="352">
          <cell r="F352">
            <v>17000</v>
          </cell>
        </row>
        <row r="355">
          <cell r="F355">
            <v>5000</v>
          </cell>
        </row>
        <row r="358">
          <cell r="F358">
            <v>18000</v>
          </cell>
        </row>
        <row r="361">
          <cell r="F361">
            <v>2000</v>
          </cell>
        </row>
        <row r="364">
          <cell r="F364">
            <v>8000</v>
          </cell>
        </row>
        <row r="367">
          <cell r="F367">
            <v>8000</v>
          </cell>
        </row>
        <row r="370">
          <cell r="F370">
            <v>12775</v>
          </cell>
        </row>
        <row r="374">
          <cell r="F374">
            <v>35000</v>
          </cell>
        </row>
        <row r="377">
          <cell r="F377">
            <v>3500</v>
          </cell>
        </row>
        <row r="380">
          <cell r="F380">
            <v>5000</v>
          </cell>
        </row>
        <row r="383">
          <cell r="F383">
            <v>3000</v>
          </cell>
        </row>
        <row r="386">
          <cell r="F386">
            <v>5000</v>
          </cell>
        </row>
        <row r="389">
          <cell r="F389">
            <v>20000</v>
          </cell>
        </row>
        <row r="392">
          <cell r="F392">
            <v>20000</v>
          </cell>
        </row>
        <row r="395">
          <cell r="F395">
            <v>12000</v>
          </cell>
        </row>
        <row r="401">
          <cell r="F401">
            <v>5913</v>
          </cell>
        </row>
        <row r="404">
          <cell r="F404">
            <v>5000</v>
          </cell>
        </row>
        <row r="407">
          <cell r="F407">
            <v>24000</v>
          </cell>
        </row>
        <row r="410">
          <cell r="F410">
            <v>4000</v>
          </cell>
        </row>
        <row r="413">
          <cell r="F413">
            <v>9000</v>
          </cell>
        </row>
        <row r="416">
          <cell r="F416">
            <v>20000</v>
          </cell>
        </row>
        <row r="419">
          <cell r="F419">
            <v>18000</v>
          </cell>
        </row>
        <row r="422">
          <cell r="F422">
            <v>5624</v>
          </cell>
        </row>
        <row r="425">
          <cell r="F425">
            <v>158000</v>
          </cell>
        </row>
        <row r="428">
          <cell r="F428">
            <v>1062000</v>
          </cell>
        </row>
        <row r="431">
          <cell r="F431">
            <v>19200</v>
          </cell>
        </row>
        <row r="434">
          <cell r="F434">
            <v>12000</v>
          </cell>
        </row>
        <row r="437">
          <cell r="F437">
            <v>4800</v>
          </cell>
        </row>
        <row r="452">
          <cell r="F452">
            <v>539</v>
          </cell>
        </row>
        <row r="463">
          <cell r="F463">
            <v>16356</v>
          </cell>
        </row>
        <row r="465">
          <cell r="F465">
            <v>555100</v>
          </cell>
        </row>
        <row r="466">
          <cell r="F466">
            <v>36617</v>
          </cell>
        </row>
        <row r="470">
          <cell r="F470">
            <v>24800</v>
          </cell>
        </row>
        <row r="474">
          <cell r="F474">
            <v>8000</v>
          </cell>
        </row>
        <row r="510">
          <cell r="F510">
            <v>12780</v>
          </cell>
        </row>
        <row r="515">
          <cell r="F515">
            <v>19000</v>
          </cell>
        </row>
        <row r="528">
          <cell r="F528">
            <v>15000</v>
          </cell>
        </row>
        <row r="540">
          <cell r="F540">
            <v>5300</v>
          </cell>
        </row>
        <row r="542">
          <cell r="F542">
            <v>7000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04-28"/>
      <sheetName val="2017-05-18"/>
      <sheetName val="2017-06-28"/>
    </sheetNames>
    <sheetDataSet>
      <sheetData sheetId="0">
        <row r="22">
          <cell r="H22">
            <v>-200</v>
          </cell>
        </row>
        <row r="23">
          <cell r="G23">
            <v>50511</v>
          </cell>
          <cell r="H23">
            <v>38564</v>
          </cell>
        </row>
        <row r="30">
          <cell r="G30">
            <v>4105.5</v>
          </cell>
          <cell r="H30">
            <v>3134.45</v>
          </cell>
        </row>
        <row r="59">
          <cell r="G59">
            <v>400000</v>
          </cell>
          <cell r="I59">
            <v>415500</v>
          </cell>
        </row>
        <row r="64">
          <cell r="J64">
            <v>5000</v>
          </cell>
          <cell r="L64">
            <v>155000</v>
          </cell>
        </row>
        <row r="97">
          <cell r="S97">
            <v>-2000</v>
          </cell>
        </row>
        <row r="109">
          <cell r="S109">
            <v>2000</v>
          </cell>
        </row>
      </sheetData>
      <sheetData sheetId="1">
        <row r="19">
          <cell r="S19">
            <v>-1000</v>
          </cell>
        </row>
        <row r="64">
          <cell r="X64">
            <v>-51810</v>
          </cell>
        </row>
        <row r="79">
          <cell r="S79">
            <v>1000</v>
          </cell>
        </row>
        <row r="86">
          <cell r="S86">
            <v>4700</v>
          </cell>
        </row>
        <row r="87">
          <cell r="S87">
            <v>800</v>
          </cell>
        </row>
        <row r="189">
          <cell r="V189">
            <v>1210</v>
          </cell>
        </row>
        <row r="229">
          <cell r="G229">
            <v>500</v>
          </cell>
          <cell r="H229">
            <v>382</v>
          </cell>
          <cell r="V229">
            <v>300</v>
          </cell>
        </row>
        <row r="244">
          <cell r="P244">
            <v>-6580</v>
          </cell>
          <cell r="R244">
            <v>6580</v>
          </cell>
        </row>
        <row r="250">
          <cell r="G250">
            <v>11100</v>
          </cell>
          <cell r="H250">
            <v>8475</v>
          </cell>
          <cell r="V250">
            <v>6931</v>
          </cell>
          <cell r="W250">
            <v>2550</v>
          </cell>
          <cell r="X250">
            <v>43369</v>
          </cell>
        </row>
      </sheetData>
      <sheetData sheetId="2">
        <row r="12">
          <cell r="G12">
            <v>222</v>
          </cell>
          <cell r="H12">
            <v>169</v>
          </cell>
        </row>
        <row r="30">
          <cell r="G30">
            <v>3395</v>
          </cell>
          <cell r="H30">
            <v>2592</v>
          </cell>
        </row>
        <row r="47">
          <cell r="H47">
            <v>-1000</v>
          </cell>
        </row>
        <row r="49">
          <cell r="S49">
            <v>15600</v>
          </cell>
        </row>
        <row r="54">
          <cell r="S54">
            <v>4300</v>
          </cell>
        </row>
        <row r="59">
          <cell r="G59">
            <v>7700</v>
          </cell>
          <cell r="I59">
            <v>188100</v>
          </cell>
        </row>
        <row r="64">
          <cell r="U64">
            <v>-90634.9</v>
          </cell>
          <cell r="X64">
            <v>-40000</v>
          </cell>
        </row>
        <row r="73">
          <cell r="S73">
            <v>1500</v>
          </cell>
        </row>
        <row r="79">
          <cell r="S79">
            <v>12000</v>
          </cell>
        </row>
        <row r="80">
          <cell r="S80">
            <v>13565</v>
          </cell>
        </row>
        <row r="82">
          <cell r="U82">
            <v>21665</v>
          </cell>
        </row>
        <row r="86">
          <cell r="S86">
            <v>2300</v>
          </cell>
        </row>
        <row r="87">
          <cell r="S87">
            <v>7700</v>
          </cell>
        </row>
        <row r="88">
          <cell r="S88">
            <v>3500</v>
          </cell>
        </row>
        <row r="92">
          <cell r="S92">
            <v>2310.8000000000002</v>
          </cell>
        </row>
        <row r="93">
          <cell r="S93">
            <v>1289</v>
          </cell>
        </row>
        <row r="94">
          <cell r="S94">
            <v>1543</v>
          </cell>
        </row>
        <row r="95">
          <cell r="S95">
            <v>864</v>
          </cell>
        </row>
        <row r="96">
          <cell r="S96">
            <v>558.32000000000005</v>
          </cell>
        </row>
        <row r="99">
          <cell r="M99">
            <v>-7200</v>
          </cell>
        </row>
        <row r="105">
          <cell r="G105">
            <v>2480</v>
          </cell>
          <cell r="H105">
            <v>1890</v>
          </cell>
        </row>
        <row r="107">
          <cell r="S107">
            <v>20000</v>
          </cell>
        </row>
        <row r="116">
          <cell r="S116">
            <v>3826</v>
          </cell>
        </row>
        <row r="118">
          <cell r="G118">
            <v>2500</v>
          </cell>
        </row>
        <row r="121">
          <cell r="S121">
            <v>-23826</v>
          </cell>
        </row>
        <row r="150">
          <cell r="F150">
            <v>2800</v>
          </cell>
        </row>
        <row r="184">
          <cell r="G184">
            <v>630</v>
          </cell>
          <cell r="H184">
            <v>481</v>
          </cell>
        </row>
        <row r="185">
          <cell r="G185">
            <v>920</v>
          </cell>
          <cell r="H185">
            <v>702</v>
          </cell>
        </row>
        <row r="188">
          <cell r="P188">
            <v>1200</v>
          </cell>
          <cell r="U188">
            <v>2664.9</v>
          </cell>
        </row>
        <row r="194">
          <cell r="M194">
            <v>7200</v>
          </cell>
          <cell r="N194">
            <v>5500</v>
          </cell>
        </row>
        <row r="195">
          <cell r="G195">
            <v>3500</v>
          </cell>
          <cell r="H195">
            <v>2670</v>
          </cell>
        </row>
        <row r="206">
          <cell r="G206">
            <v>4520</v>
          </cell>
          <cell r="H206">
            <v>3450</v>
          </cell>
        </row>
        <row r="216">
          <cell r="S216">
            <v>3540</v>
          </cell>
        </row>
        <row r="232">
          <cell r="G232">
            <v>3000</v>
          </cell>
          <cell r="H232">
            <v>2300</v>
          </cell>
        </row>
        <row r="243">
          <cell r="G243">
            <v>16500</v>
          </cell>
          <cell r="H243">
            <v>12600</v>
          </cell>
        </row>
        <row r="253">
          <cell r="I253">
            <v>80000</v>
          </cell>
          <cell r="X253">
            <v>40000</v>
          </cell>
        </row>
        <row r="261">
          <cell r="S261">
            <v>9000</v>
          </cell>
          <cell r="U261">
            <v>16000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Pedagog DU didinimas"/>
    </sheetNames>
    <sheetDataSet>
      <sheetData sheetId="0">
        <row r="4">
          <cell r="B4">
            <v>40100</v>
          </cell>
          <cell r="C4">
            <v>30600</v>
          </cell>
        </row>
        <row r="5">
          <cell r="B5">
            <v>261600</v>
          </cell>
          <cell r="C5">
            <v>193500</v>
          </cell>
        </row>
        <row r="6">
          <cell r="B6">
            <v>249400</v>
          </cell>
          <cell r="C6">
            <v>184600</v>
          </cell>
        </row>
        <row r="9">
          <cell r="B9">
            <v>1025000</v>
          </cell>
          <cell r="C9">
            <v>768200</v>
          </cell>
        </row>
        <row r="10">
          <cell r="B10">
            <v>209500</v>
          </cell>
          <cell r="C10">
            <v>154900</v>
          </cell>
        </row>
        <row r="11">
          <cell r="B11">
            <v>222800</v>
          </cell>
          <cell r="C11">
            <v>166700</v>
          </cell>
        </row>
        <row r="13">
          <cell r="B13">
            <v>204400</v>
          </cell>
          <cell r="C13">
            <v>154200</v>
          </cell>
        </row>
        <row r="14">
          <cell r="B14">
            <v>166600</v>
          </cell>
          <cell r="C14">
            <v>123100</v>
          </cell>
        </row>
        <row r="15">
          <cell r="B15">
            <v>432300</v>
          </cell>
          <cell r="C15">
            <v>324100</v>
          </cell>
        </row>
        <row r="16">
          <cell r="B16">
            <v>160500</v>
          </cell>
          <cell r="C16">
            <v>118200</v>
          </cell>
        </row>
        <row r="17">
          <cell r="B17">
            <v>241400</v>
          </cell>
          <cell r="C17">
            <v>179800</v>
          </cell>
          <cell r="J17">
            <v>420</v>
          </cell>
        </row>
        <row r="18">
          <cell r="B18">
            <v>215000</v>
          </cell>
          <cell r="C18">
            <v>160300</v>
          </cell>
        </row>
        <row r="19">
          <cell r="B19">
            <v>520100</v>
          </cell>
          <cell r="C19">
            <v>385900</v>
          </cell>
        </row>
        <row r="20">
          <cell r="B20">
            <v>147700</v>
          </cell>
        </row>
        <row r="22">
          <cell r="B22">
            <v>36100</v>
          </cell>
        </row>
      </sheetData>
      <sheetData sheetId="1">
        <row r="4">
          <cell r="C4">
            <v>7100</v>
          </cell>
          <cell r="D4">
            <v>5400</v>
          </cell>
        </row>
        <row r="5">
          <cell r="C5">
            <v>6400</v>
          </cell>
          <cell r="D5">
            <v>4900</v>
          </cell>
        </row>
        <row r="8">
          <cell r="C8">
            <v>28100</v>
          </cell>
          <cell r="D8">
            <v>21500</v>
          </cell>
        </row>
        <row r="9">
          <cell r="C9">
            <v>5600</v>
          </cell>
          <cell r="D9">
            <v>4300</v>
          </cell>
        </row>
        <row r="10">
          <cell r="C10">
            <v>5600</v>
          </cell>
          <cell r="D10">
            <v>4300</v>
          </cell>
        </row>
        <row r="12">
          <cell r="C12">
            <v>5500</v>
          </cell>
          <cell r="D12">
            <v>4200</v>
          </cell>
        </row>
        <row r="13">
          <cell r="C13">
            <v>4500</v>
          </cell>
          <cell r="D13">
            <v>3500</v>
          </cell>
        </row>
        <row r="14">
          <cell r="C14">
            <v>11800</v>
          </cell>
          <cell r="D14">
            <v>9000</v>
          </cell>
        </row>
        <row r="15">
          <cell r="C15">
            <v>4100</v>
          </cell>
          <cell r="D15">
            <v>3100</v>
          </cell>
        </row>
        <row r="16">
          <cell r="C16">
            <v>6600</v>
          </cell>
          <cell r="D16">
            <v>5100</v>
          </cell>
        </row>
        <row r="17">
          <cell r="C17">
            <v>5700</v>
          </cell>
          <cell r="D17">
            <v>4400</v>
          </cell>
        </row>
        <row r="18">
          <cell r="C18">
            <v>13700</v>
          </cell>
          <cell r="D18">
            <v>10500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iunijos"/>
      <sheetName val="Suvestine"/>
    </sheetNames>
    <sheetDataSet>
      <sheetData sheetId="0"/>
      <sheetData sheetId="1">
        <row r="6">
          <cell r="G6">
            <v>1300</v>
          </cell>
          <cell r="L6">
            <v>1300</v>
          </cell>
          <cell r="N6">
            <v>980</v>
          </cell>
        </row>
        <row r="7">
          <cell r="G7">
            <v>6000</v>
          </cell>
          <cell r="L7">
            <v>3300</v>
          </cell>
          <cell r="N7">
            <v>1260</v>
          </cell>
        </row>
        <row r="8">
          <cell r="G8">
            <v>2500</v>
          </cell>
          <cell r="L8">
            <v>5900</v>
          </cell>
          <cell r="N8">
            <v>980</v>
          </cell>
        </row>
        <row r="9">
          <cell r="G9">
            <v>2700</v>
          </cell>
          <cell r="L9">
            <v>2200</v>
          </cell>
          <cell r="N9">
            <v>980</v>
          </cell>
        </row>
        <row r="10">
          <cell r="G10">
            <v>40000</v>
          </cell>
          <cell r="L10">
            <v>38943</v>
          </cell>
        </row>
        <row r="11">
          <cell r="G11">
            <v>7370</v>
          </cell>
          <cell r="L11">
            <v>5100</v>
          </cell>
          <cell r="N11">
            <v>2230</v>
          </cell>
        </row>
        <row r="12">
          <cell r="G12">
            <v>2250</v>
          </cell>
          <cell r="L12">
            <v>1296</v>
          </cell>
          <cell r="N12">
            <v>1550</v>
          </cell>
        </row>
        <row r="13">
          <cell r="G13">
            <v>7210</v>
          </cell>
          <cell r="L13">
            <v>7600</v>
          </cell>
          <cell r="N13">
            <v>2465</v>
          </cell>
        </row>
        <row r="14">
          <cell r="G14">
            <v>2750</v>
          </cell>
          <cell r="L14">
            <v>4950</v>
          </cell>
          <cell r="N14">
            <v>1570</v>
          </cell>
        </row>
        <row r="15">
          <cell r="G15">
            <v>1350</v>
          </cell>
          <cell r="L15">
            <v>850</v>
          </cell>
          <cell r="N15">
            <v>1090</v>
          </cell>
        </row>
        <row r="16">
          <cell r="G16">
            <v>3300</v>
          </cell>
          <cell r="L16">
            <v>2500</v>
          </cell>
          <cell r="N16">
            <v>2600</v>
          </cell>
        </row>
        <row r="17">
          <cell r="G17">
            <v>22282</v>
          </cell>
          <cell r="L17">
            <v>19000</v>
          </cell>
          <cell r="N17">
            <v>1768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B_2017"/>
      <sheetName val="2017m. "/>
    </sheetNames>
    <sheetDataSet>
      <sheetData sheetId="0">
        <row r="10">
          <cell r="H10">
            <v>23245</v>
          </cell>
        </row>
        <row r="17">
          <cell r="H17">
            <v>33200</v>
          </cell>
        </row>
        <row r="19">
          <cell r="H19">
            <v>30945</v>
          </cell>
        </row>
        <row r="26">
          <cell r="H26">
            <v>47900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gzdute"/>
      <sheetName val="Vyturelis"/>
      <sheetName val="A. Kirsnos mokykla"/>
      <sheetName val="Kapčiamiesčio mokykla"/>
      <sheetName val="Krosnos mokykla"/>
      <sheetName val="Kuciunu mokykla"/>
      <sheetName val="Stebuliu mokykla"/>
      <sheetName val="Sestoku mokykla"/>
      <sheetName val="Sventezerio mokykla"/>
      <sheetName val="Lazdiju A. Gustaicio gimnazija"/>
      <sheetName val="Seiriju A. Zmuidzinaviciaus "/>
      <sheetName val="Veisieju S. Gedos gimnazija"/>
      <sheetName val="Meno mokykla"/>
      <sheetName val="Biblioteka"/>
      <sheetName val="Muziejus"/>
      <sheetName val="Sveikatos biuras"/>
      <sheetName val="Zidinys"/>
      <sheetName val="SUVESTINE"/>
    </sheetNames>
    <sheetDataSet>
      <sheetData sheetId="0">
        <row r="9">
          <cell r="R9">
            <v>281899.9988</v>
          </cell>
        </row>
        <row r="11">
          <cell r="R11">
            <v>176006</v>
          </cell>
        </row>
        <row r="55">
          <cell r="R55">
            <v>0</v>
          </cell>
        </row>
      </sheetData>
      <sheetData sheetId="1">
        <row r="9">
          <cell r="R9">
            <v>249719.9982</v>
          </cell>
        </row>
        <row r="11">
          <cell r="R11">
            <v>148809</v>
          </cell>
        </row>
        <row r="57">
          <cell r="R57">
            <v>800</v>
          </cell>
        </row>
      </sheetData>
      <sheetData sheetId="2">
        <row r="9">
          <cell r="R9">
            <v>69639.998400000011</v>
          </cell>
        </row>
        <row r="11">
          <cell r="R11">
            <v>37558</v>
          </cell>
        </row>
        <row r="49">
          <cell r="R49">
            <v>0</v>
          </cell>
        </row>
      </sheetData>
      <sheetData sheetId="3">
        <row r="9">
          <cell r="R9">
            <v>99000.000599999999</v>
          </cell>
        </row>
        <row r="11">
          <cell r="R11">
            <v>44247</v>
          </cell>
        </row>
        <row r="64">
          <cell r="R64">
            <v>0</v>
          </cell>
        </row>
      </sheetData>
      <sheetData sheetId="4">
        <row r="9">
          <cell r="R9">
            <v>132539.99960000001</v>
          </cell>
        </row>
        <row r="11">
          <cell r="R11">
            <v>68752</v>
          </cell>
        </row>
        <row r="54">
          <cell r="R54">
            <v>0</v>
          </cell>
        </row>
      </sheetData>
      <sheetData sheetId="5">
        <row r="9">
          <cell r="R9">
            <v>75099.995599999995</v>
          </cell>
        </row>
        <row r="11">
          <cell r="R11">
            <v>36422</v>
          </cell>
        </row>
        <row r="53">
          <cell r="R53">
            <v>0</v>
          </cell>
        </row>
      </sheetData>
      <sheetData sheetId="6">
        <row r="9">
          <cell r="R9">
            <v>52680.000599999999</v>
          </cell>
        </row>
        <row r="11">
          <cell r="R11">
            <v>24997</v>
          </cell>
        </row>
        <row r="61">
          <cell r="R61">
            <v>1300</v>
          </cell>
        </row>
      </sheetData>
      <sheetData sheetId="7">
        <row r="9">
          <cell r="R9">
            <v>116639.99980000001</v>
          </cell>
        </row>
        <row r="11">
          <cell r="R11">
            <v>65751</v>
          </cell>
        </row>
        <row r="60">
          <cell r="R60">
            <v>1500</v>
          </cell>
        </row>
      </sheetData>
      <sheetData sheetId="8">
        <row r="9">
          <cell r="R9">
            <v>156520.00200000001</v>
          </cell>
        </row>
        <row r="11">
          <cell r="R11">
            <v>80440</v>
          </cell>
        </row>
        <row r="63">
          <cell r="R63">
            <v>0</v>
          </cell>
        </row>
      </sheetData>
      <sheetData sheetId="9">
        <row r="9">
          <cell r="R9">
            <v>271219.9988</v>
          </cell>
        </row>
        <row r="11">
          <cell r="R11">
            <v>127556</v>
          </cell>
        </row>
        <row r="61">
          <cell r="R61">
            <v>0</v>
          </cell>
        </row>
      </sheetData>
      <sheetData sheetId="10">
        <row r="9">
          <cell r="T9">
            <v>246329.99739999999</v>
          </cell>
        </row>
        <row r="11">
          <cell r="T11">
            <v>133863</v>
          </cell>
        </row>
        <row r="61">
          <cell r="T61">
            <v>3000</v>
          </cell>
        </row>
      </sheetData>
      <sheetData sheetId="11">
        <row r="9">
          <cell r="R9">
            <v>329770.00179999997</v>
          </cell>
        </row>
        <row r="11">
          <cell r="R11">
            <v>183041</v>
          </cell>
        </row>
        <row r="60">
          <cell r="R60">
            <v>4000</v>
          </cell>
        </row>
      </sheetData>
      <sheetData sheetId="12">
        <row r="9">
          <cell r="R9">
            <v>312149.99580000003</v>
          </cell>
        </row>
        <row r="11">
          <cell r="R11">
            <v>238321</v>
          </cell>
        </row>
      </sheetData>
      <sheetData sheetId="13">
        <row r="9">
          <cell r="R9">
            <v>512270.00260000001</v>
          </cell>
        </row>
        <row r="11">
          <cell r="R11">
            <v>319337</v>
          </cell>
        </row>
        <row r="62">
          <cell r="R62">
            <v>2000</v>
          </cell>
        </row>
        <row r="69">
          <cell r="R69">
            <v>300</v>
          </cell>
        </row>
      </sheetData>
      <sheetData sheetId="14">
        <row r="9">
          <cell r="R9">
            <v>113340.00020000001</v>
          </cell>
        </row>
        <row r="11">
          <cell r="R11">
            <v>69099</v>
          </cell>
        </row>
        <row r="63">
          <cell r="R63">
            <v>2000</v>
          </cell>
        </row>
        <row r="67">
          <cell r="R67">
            <v>1000</v>
          </cell>
        </row>
      </sheetData>
      <sheetData sheetId="15">
        <row r="9">
          <cell r="R9">
            <v>24309.9964</v>
          </cell>
        </row>
        <row r="11">
          <cell r="R11">
            <v>16268</v>
          </cell>
        </row>
        <row r="55">
          <cell r="R55">
            <v>1500</v>
          </cell>
        </row>
      </sheetData>
      <sheetData sheetId="16">
        <row r="9">
          <cell r="R9">
            <v>164830.00280000002</v>
          </cell>
        </row>
        <row r="11">
          <cell r="R11">
            <v>111336</v>
          </cell>
        </row>
        <row r="40">
          <cell r="R40">
            <v>5000</v>
          </cell>
        </row>
      </sheetData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Lapas2"/>
      <sheetName val="Lapas3"/>
    </sheetNames>
    <sheetDataSet>
      <sheetData sheetId="0">
        <row r="7">
          <cell r="D7">
            <v>13000</v>
          </cell>
        </row>
        <row r="8">
          <cell r="D8">
            <v>11000</v>
          </cell>
        </row>
        <row r="9">
          <cell r="D9">
            <v>8000</v>
          </cell>
        </row>
        <row r="10">
          <cell r="D10">
            <v>11000</v>
          </cell>
        </row>
        <row r="11">
          <cell r="D11">
            <v>9100</v>
          </cell>
        </row>
        <row r="12">
          <cell r="D12">
            <v>9000</v>
          </cell>
        </row>
        <row r="13">
          <cell r="D13">
            <v>27000</v>
          </cell>
        </row>
        <row r="14">
          <cell r="D14">
            <v>20000</v>
          </cell>
        </row>
        <row r="15">
          <cell r="D15">
            <v>11000</v>
          </cell>
        </row>
        <row r="16">
          <cell r="D16">
            <v>11000</v>
          </cell>
        </row>
        <row r="17">
          <cell r="D17">
            <v>10000</v>
          </cell>
        </row>
        <row r="18">
          <cell r="D18">
            <v>17000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"/>
      <sheetName val="SADM"/>
      <sheetName val="VRM"/>
      <sheetName val="TM"/>
      <sheetName val="ZUM"/>
    </sheetNames>
    <sheetDataSet>
      <sheetData sheetId="0"/>
      <sheetData sheetId="1"/>
      <sheetData sheetId="2">
        <row r="19">
          <cell r="G19">
            <v>335000</v>
          </cell>
        </row>
        <row r="31">
          <cell r="G31">
            <v>515200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showZeros="0" zoomScaleNormal="100" workbookViewId="0">
      <selection activeCell="C5" sqref="C5"/>
    </sheetView>
  </sheetViews>
  <sheetFormatPr defaultRowHeight="15.75" customHeight="1" x14ac:dyDescent="0.25"/>
  <cols>
    <col min="1" max="1" width="7.28515625" style="2" customWidth="1"/>
    <col min="2" max="2" width="78" style="2" customWidth="1"/>
    <col min="3" max="3" width="19.42578125" style="2" customWidth="1"/>
    <col min="4" max="16384" width="9.140625" style="2"/>
  </cols>
  <sheetData>
    <row r="1" spans="1:3" x14ac:dyDescent="0.25">
      <c r="C1" s="167" t="s">
        <v>566</v>
      </c>
    </row>
    <row r="2" spans="1:3" x14ac:dyDescent="0.25">
      <c r="C2" s="167" t="s">
        <v>36</v>
      </c>
    </row>
    <row r="3" spans="1:3" ht="15.75" customHeight="1" x14ac:dyDescent="0.25">
      <c r="C3" s="167" t="s">
        <v>583</v>
      </c>
    </row>
    <row r="4" spans="1:3" ht="15.75" customHeight="1" x14ac:dyDescent="0.25">
      <c r="C4" s="167" t="s">
        <v>584</v>
      </c>
    </row>
    <row r="5" spans="1:3" ht="15.75" customHeight="1" x14ac:dyDescent="0.25">
      <c r="C5" s="167" t="s">
        <v>619</v>
      </c>
    </row>
    <row r="6" spans="1:3" ht="17.25" customHeight="1" x14ac:dyDescent="0.25">
      <c r="C6" s="167" t="s">
        <v>586</v>
      </c>
    </row>
    <row r="7" spans="1:3" ht="9.75" customHeight="1" x14ac:dyDescent="0.25">
      <c r="C7" s="9"/>
    </row>
    <row r="8" spans="1:3" x14ac:dyDescent="0.25">
      <c r="A8" s="175" t="s">
        <v>38</v>
      </c>
      <c r="B8" s="175"/>
      <c r="C8" s="175"/>
    </row>
    <row r="9" spans="1:3" x14ac:dyDescent="0.25">
      <c r="C9" s="1" t="s">
        <v>37</v>
      </c>
    </row>
    <row r="10" spans="1:3" ht="32.25" customHeight="1" x14ac:dyDescent="0.25">
      <c r="A10" s="11" t="s">
        <v>41</v>
      </c>
      <c r="B10" s="10" t="s">
        <v>39</v>
      </c>
      <c r="C10" s="11" t="s">
        <v>40</v>
      </c>
    </row>
    <row r="11" spans="1:3" s="5" customFormat="1" ht="17.25" customHeight="1" x14ac:dyDescent="0.25">
      <c r="A11" s="179" t="s">
        <v>109</v>
      </c>
      <c r="B11" s="180"/>
      <c r="C11" s="181"/>
    </row>
    <row r="12" spans="1:3" s="5" customFormat="1" ht="16.5" customHeight="1" x14ac:dyDescent="0.25">
      <c r="A12" s="3" t="s">
        <v>0</v>
      </c>
      <c r="B12" s="4" t="s">
        <v>101</v>
      </c>
      <c r="C12" s="22">
        <f>C13+C14+C18</f>
        <v>9050</v>
      </c>
    </row>
    <row r="13" spans="1:3" s="5" customFormat="1" ht="16.5" customHeight="1" x14ac:dyDescent="0.25">
      <c r="A13" s="3" t="s">
        <v>1</v>
      </c>
      <c r="B13" s="6" t="s">
        <v>2</v>
      </c>
      <c r="C13" s="22">
        <v>8228</v>
      </c>
    </row>
    <row r="14" spans="1:3" s="5" customFormat="1" ht="16.5" customHeight="1" x14ac:dyDescent="0.25">
      <c r="A14" s="3" t="s">
        <v>3</v>
      </c>
      <c r="B14" s="6" t="s">
        <v>4</v>
      </c>
      <c r="C14" s="22">
        <f>C15+C16+C17</f>
        <v>282</v>
      </c>
    </row>
    <row r="15" spans="1:3" ht="16.5" customHeight="1" x14ac:dyDescent="0.25">
      <c r="A15" s="157" t="s">
        <v>69</v>
      </c>
      <c r="B15" s="158" t="s">
        <v>5</v>
      </c>
      <c r="C15" s="23">
        <v>180</v>
      </c>
    </row>
    <row r="16" spans="1:3" ht="16.5" customHeight="1" x14ac:dyDescent="0.25">
      <c r="A16" s="157" t="s">
        <v>70</v>
      </c>
      <c r="B16" s="158" t="s">
        <v>6</v>
      </c>
      <c r="C16" s="23">
        <v>2</v>
      </c>
    </row>
    <row r="17" spans="1:3" ht="16.5" customHeight="1" x14ac:dyDescent="0.25">
      <c r="A17" s="157" t="s">
        <v>71</v>
      </c>
      <c r="B17" s="158" t="s">
        <v>7</v>
      </c>
      <c r="C17" s="23">
        <v>100</v>
      </c>
    </row>
    <row r="18" spans="1:3" s="5" customFormat="1" ht="16.5" customHeight="1" x14ac:dyDescent="0.25">
      <c r="A18" s="3" t="s">
        <v>8</v>
      </c>
      <c r="B18" s="6" t="s">
        <v>9</v>
      </c>
      <c r="C18" s="22">
        <f>C19+C20</f>
        <v>540</v>
      </c>
    </row>
    <row r="19" spans="1:3" ht="16.5" customHeight="1" x14ac:dyDescent="0.25">
      <c r="A19" s="159" t="s">
        <v>544</v>
      </c>
      <c r="B19" s="158" t="s">
        <v>10</v>
      </c>
      <c r="C19" s="23">
        <v>30</v>
      </c>
    </row>
    <row r="20" spans="1:3" ht="16.5" customHeight="1" x14ac:dyDescent="0.25">
      <c r="A20" s="159" t="s">
        <v>545</v>
      </c>
      <c r="B20" s="158" t="s">
        <v>11</v>
      </c>
      <c r="C20" s="23">
        <v>510</v>
      </c>
    </row>
    <row r="21" spans="1:3" ht="16.5" customHeight="1" x14ac:dyDescent="0.25">
      <c r="A21" s="159" t="s">
        <v>492</v>
      </c>
      <c r="B21" s="158" t="s">
        <v>493</v>
      </c>
      <c r="C21" s="23">
        <v>500</v>
      </c>
    </row>
    <row r="22" spans="1:3" s="5" customFormat="1" ht="16.5" customHeight="1" x14ac:dyDescent="0.25">
      <c r="A22" s="3" t="s">
        <v>12</v>
      </c>
      <c r="B22" s="6" t="s">
        <v>102</v>
      </c>
      <c r="C22" s="22">
        <f>C23+C24+C25+C26</f>
        <v>87</v>
      </c>
    </row>
    <row r="23" spans="1:3" s="5" customFormat="1" ht="31.5" x14ac:dyDescent="0.25">
      <c r="A23" s="3" t="s">
        <v>13</v>
      </c>
      <c r="B23" s="18" t="s">
        <v>15</v>
      </c>
      <c r="C23" s="22">
        <v>45</v>
      </c>
    </row>
    <row r="24" spans="1:3" s="5" customFormat="1" ht="16.5" customHeight="1" x14ac:dyDescent="0.25">
      <c r="A24" s="3" t="s">
        <v>16</v>
      </c>
      <c r="B24" s="6" t="s">
        <v>17</v>
      </c>
      <c r="C24" s="22">
        <v>10</v>
      </c>
    </row>
    <row r="25" spans="1:3" s="5" customFormat="1" ht="16.5" customHeight="1" x14ac:dyDescent="0.25">
      <c r="A25" s="3" t="s">
        <v>18</v>
      </c>
      <c r="B25" s="6" t="s">
        <v>19</v>
      </c>
      <c r="C25" s="22">
        <v>2</v>
      </c>
    </row>
    <row r="26" spans="1:3" s="5" customFormat="1" ht="16.5" customHeight="1" x14ac:dyDescent="0.25">
      <c r="A26" s="3" t="s">
        <v>20</v>
      </c>
      <c r="B26" s="6" t="s">
        <v>42</v>
      </c>
      <c r="C26" s="22">
        <v>30</v>
      </c>
    </row>
    <row r="27" spans="1:3" s="5" customFormat="1" ht="32.25" customHeight="1" x14ac:dyDescent="0.25">
      <c r="A27" s="182" t="s">
        <v>43</v>
      </c>
      <c r="B27" s="183"/>
      <c r="C27" s="22">
        <f>C12+C22</f>
        <v>9137</v>
      </c>
    </row>
    <row r="28" spans="1:3" s="5" customFormat="1" ht="16.5" customHeight="1" x14ac:dyDescent="0.25">
      <c r="A28" s="184" t="s">
        <v>110</v>
      </c>
      <c r="B28" s="185"/>
      <c r="C28" s="186"/>
    </row>
    <row r="29" spans="1:3" s="5" customFormat="1" ht="16.5" customHeight="1" x14ac:dyDescent="0.25">
      <c r="A29" s="7" t="s">
        <v>21</v>
      </c>
      <c r="B29" s="7" t="s">
        <v>103</v>
      </c>
      <c r="C29" s="22">
        <f>C30+C54+C55</f>
        <v>7507.9</v>
      </c>
    </row>
    <row r="30" spans="1:3" ht="16.5" customHeight="1" x14ac:dyDescent="0.25">
      <c r="A30" s="21" t="s">
        <v>44</v>
      </c>
      <c r="B30" s="8" t="s">
        <v>558</v>
      </c>
      <c r="C30" s="22">
        <f>SUM(C31:C53)</f>
        <v>2144.1000000000004</v>
      </c>
    </row>
    <row r="31" spans="1:3" s="5" customFormat="1" ht="16.5" customHeight="1" x14ac:dyDescent="0.25">
      <c r="A31" s="13" t="s">
        <v>46</v>
      </c>
      <c r="B31" s="13" t="s">
        <v>77</v>
      </c>
      <c r="C31" s="24">
        <v>0.3</v>
      </c>
    </row>
    <row r="32" spans="1:3" s="5" customFormat="1" ht="16.5" customHeight="1" x14ac:dyDescent="0.25">
      <c r="A32" s="13" t="s">
        <v>47</v>
      </c>
      <c r="B32" s="14" t="s">
        <v>78</v>
      </c>
      <c r="C32" s="23">
        <v>13.8</v>
      </c>
    </row>
    <row r="33" spans="1:3" s="5" customFormat="1" ht="16.5" customHeight="1" x14ac:dyDescent="0.25">
      <c r="A33" s="13" t="s">
        <v>48</v>
      </c>
      <c r="B33" s="15" t="s">
        <v>79</v>
      </c>
      <c r="C33" s="23">
        <v>24</v>
      </c>
    </row>
    <row r="34" spans="1:3" s="5" customFormat="1" ht="16.5" customHeight="1" x14ac:dyDescent="0.25">
      <c r="A34" s="13" t="s">
        <v>49</v>
      </c>
      <c r="B34" s="13" t="s">
        <v>80</v>
      </c>
      <c r="C34" s="24">
        <v>7.5</v>
      </c>
    </row>
    <row r="35" spans="1:3" s="5" customFormat="1" ht="16.5" customHeight="1" x14ac:dyDescent="0.25">
      <c r="A35" s="13" t="s">
        <v>50</v>
      </c>
      <c r="B35" s="16" t="s">
        <v>81</v>
      </c>
      <c r="C35" s="26">
        <v>230.6</v>
      </c>
    </row>
    <row r="36" spans="1:3" s="5" customFormat="1" ht="16.5" customHeight="1" x14ac:dyDescent="0.25">
      <c r="A36" s="13" t="s">
        <v>51</v>
      </c>
      <c r="B36" s="17" t="s">
        <v>82</v>
      </c>
      <c r="C36" s="26">
        <v>0.6</v>
      </c>
    </row>
    <row r="37" spans="1:3" ht="29.25" customHeight="1" x14ac:dyDescent="0.25">
      <c r="A37" s="13" t="s">
        <v>52</v>
      </c>
      <c r="B37" s="13" t="s">
        <v>83</v>
      </c>
      <c r="C37" s="24">
        <v>10.6</v>
      </c>
    </row>
    <row r="38" spans="1:3" s="5" customFormat="1" ht="16.5" customHeight="1" x14ac:dyDescent="0.25">
      <c r="A38" s="13" t="s">
        <v>53</v>
      </c>
      <c r="B38" s="17" t="s">
        <v>84</v>
      </c>
      <c r="C38" s="26">
        <v>0.3</v>
      </c>
    </row>
    <row r="39" spans="1:3" s="5" customFormat="1" ht="16.5" customHeight="1" x14ac:dyDescent="0.25">
      <c r="A39" s="13" t="s">
        <v>54</v>
      </c>
      <c r="B39" s="14" t="s">
        <v>85</v>
      </c>
      <c r="C39" s="23">
        <v>12.9</v>
      </c>
    </row>
    <row r="40" spans="1:3" s="5" customFormat="1" ht="16.5" customHeight="1" x14ac:dyDescent="0.25">
      <c r="A40" s="13" t="s">
        <v>55</v>
      </c>
      <c r="B40" s="14" t="s">
        <v>86</v>
      </c>
      <c r="C40" s="23">
        <v>155.5</v>
      </c>
    </row>
    <row r="41" spans="1:3" s="5" customFormat="1" ht="16.5" customHeight="1" x14ac:dyDescent="0.25">
      <c r="A41" s="13" t="s">
        <v>56</v>
      </c>
      <c r="B41" s="16" t="s">
        <v>87</v>
      </c>
      <c r="C41" s="26">
        <v>2.8</v>
      </c>
    </row>
    <row r="42" spans="1:3" s="5" customFormat="1" ht="16.5" customHeight="1" x14ac:dyDescent="0.25">
      <c r="A42" s="13" t="s">
        <v>57</v>
      </c>
      <c r="B42" s="13" t="s">
        <v>88</v>
      </c>
      <c r="C42" s="24">
        <v>6.2</v>
      </c>
    </row>
    <row r="43" spans="1:3" s="5" customFormat="1" ht="16.5" customHeight="1" x14ac:dyDescent="0.25">
      <c r="A43" s="13" t="s">
        <v>58</v>
      </c>
      <c r="B43" s="14" t="s">
        <v>89</v>
      </c>
      <c r="C43" s="23">
        <f>515.2+11.1</f>
        <v>526.30000000000007</v>
      </c>
    </row>
    <row r="44" spans="1:3" s="5" customFormat="1" ht="31.5" x14ac:dyDescent="0.25">
      <c r="A44" s="13" t="s">
        <v>59</v>
      </c>
      <c r="B44" s="13" t="s">
        <v>578</v>
      </c>
      <c r="C44" s="23">
        <v>4.0999999999999996</v>
      </c>
    </row>
    <row r="45" spans="1:3" ht="31.5" x14ac:dyDescent="0.25">
      <c r="A45" s="13" t="s">
        <v>60</v>
      </c>
      <c r="B45" s="13" t="s">
        <v>90</v>
      </c>
      <c r="C45" s="24">
        <v>0.6</v>
      </c>
    </row>
    <row r="46" spans="1:3" s="5" customFormat="1" ht="16.5" customHeight="1" x14ac:dyDescent="0.25">
      <c r="A46" s="13" t="s">
        <v>61</v>
      </c>
      <c r="B46" s="13" t="s">
        <v>91</v>
      </c>
      <c r="C46" s="24">
        <f>12.3+0.2</f>
        <v>12.5</v>
      </c>
    </row>
    <row r="47" spans="1:3" ht="16.5" customHeight="1" x14ac:dyDescent="0.25">
      <c r="A47" s="13" t="s">
        <v>62</v>
      </c>
      <c r="B47" s="13" t="s">
        <v>92</v>
      </c>
      <c r="C47" s="26">
        <v>210.8</v>
      </c>
    </row>
    <row r="48" spans="1:3" ht="16.5" customHeight="1" x14ac:dyDescent="0.25">
      <c r="A48" s="13" t="s">
        <v>63</v>
      </c>
      <c r="B48" s="16" t="s">
        <v>93</v>
      </c>
      <c r="C48" s="26">
        <v>137.4</v>
      </c>
    </row>
    <row r="49" spans="1:3" ht="16.5" customHeight="1" x14ac:dyDescent="0.25">
      <c r="A49" s="13" t="s">
        <v>64</v>
      </c>
      <c r="B49" s="16" t="s">
        <v>94</v>
      </c>
      <c r="C49" s="26">
        <f>446.9+2.5</f>
        <v>449.4</v>
      </c>
    </row>
    <row r="50" spans="1:3" s="5" customFormat="1" ht="16.5" customHeight="1" x14ac:dyDescent="0.25">
      <c r="A50" s="13" t="s">
        <v>65</v>
      </c>
      <c r="B50" s="14" t="s">
        <v>95</v>
      </c>
      <c r="C50" s="23">
        <v>49.5</v>
      </c>
    </row>
    <row r="51" spans="1:3" s="5" customFormat="1" ht="16.5" customHeight="1" x14ac:dyDescent="0.25">
      <c r="A51" s="13" t="s">
        <v>66</v>
      </c>
      <c r="B51" s="13" t="s">
        <v>96</v>
      </c>
      <c r="C51" s="24">
        <v>7.8</v>
      </c>
    </row>
    <row r="52" spans="1:3" s="5" customFormat="1" ht="16.5" customHeight="1" x14ac:dyDescent="0.25">
      <c r="A52" s="13" t="s">
        <v>67</v>
      </c>
      <c r="B52" s="15" t="s">
        <v>97</v>
      </c>
      <c r="C52" s="25">
        <f>81.1+1.6</f>
        <v>82.699999999999989</v>
      </c>
    </row>
    <row r="53" spans="1:3" ht="16.5" customHeight="1" x14ac:dyDescent="0.25">
      <c r="A53" s="13" t="s">
        <v>577</v>
      </c>
      <c r="B53" s="13" t="s">
        <v>98</v>
      </c>
      <c r="C53" s="24">
        <f>194.5+3.4</f>
        <v>197.9</v>
      </c>
    </row>
    <row r="54" spans="1:3" s="5" customFormat="1" ht="16.5" customHeight="1" x14ac:dyDescent="0.25">
      <c r="A54" s="19" t="s">
        <v>45</v>
      </c>
      <c r="B54" s="20" t="s">
        <v>72</v>
      </c>
      <c r="C54" s="27">
        <v>4096.3999999999996</v>
      </c>
    </row>
    <row r="55" spans="1:3" s="5" customFormat="1" ht="16.5" customHeight="1" x14ac:dyDescent="0.25">
      <c r="A55" s="19" t="s">
        <v>73</v>
      </c>
      <c r="B55" s="20" t="s">
        <v>559</v>
      </c>
      <c r="C55" s="28">
        <f>SUM(C56:C61)</f>
        <v>1267.4000000000001</v>
      </c>
    </row>
    <row r="56" spans="1:3" ht="30" customHeight="1" x14ac:dyDescent="0.25">
      <c r="A56" s="13" t="s">
        <v>74</v>
      </c>
      <c r="B56" s="13" t="s">
        <v>99</v>
      </c>
      <c r="C56" s="23">
        <f>23.9</f>
        <v>23.9</v>
      </c>
    </row>
    <row r="57" spans="1:3" x14ac:dyDescent="0.25">
      <c r="A57" s="13" t="s">
        <v>112</v>
      </c>
      <c r="B57" s="13" t="s">
        <v>113</v>
      </c>
      <c r="C57" s="23">
        <v>47</v>
      </c>
    </row>
    <row r="58" spans="1:3" x14ac:dyDescent="0.25">
      <c r="A58" s="13" t="s">
        <v>563</v>
      </c>
      <c r="B58" s="13" t="s">
        <v>564</v>
      </c>
      <c r="C58" s="23">
        <v>104.7</v>
      </c>
    </row>
    <row r="59" spans="1:3" ht="31.5" x14ac:dyDescent="0.25">
      <c r="A59" s="13" t="s">
        <v>579</v>
      </c>
      <c r="B59" s="13" t="s">
        <v>580</v>
      </c>
      <c r="C59" s="23">
        <v>50.5</v>
      </c>
    </row>
    <row r="60" spans="1:3" ht="31.5" x14ac:dyDescent="0.25">
      <c r="A60" s="13" t="s">
        <v>581</v>
      </c>
      <c r="B60" s="13" t="s">
        <v>582</v>
      </c>
      <c r="C60" s="23">
        <f>815.5+195.8</f>
        <v>1011.3</v>
      </c>
    </row>
    <row r="61" spans="1:3" x14ac:dyDescent="0.25">
      <c r="A61" s="13" t="s">
        <v>590</v>
      </c>
      <c r="B61" s="13" t="s">
        <v>591</v>
      </c>
      <c r="C61" s="23">
        <v>30</v>
      </c>
    </row>
    <row r="62" spans="1:3" s="5" customFormat="1" ht="16.5" customHeight="1" x14ac:dyDescent="0.25">
      <c r="A62" s="21" t="s">
        <v>22</v>
      </c>
      <c r="B62" s="8" t="s">
        <v>68</v>
      </c>
      <c r="C62" s="22">
        <v>1071</v>
      </c>
    </row>
    <row r="63" spans="1:3" s="5" customFormat="1" ht="16.5" customHeight="1" x14ac:dyDescent="0.25">
      <c r="A63" s="21" t="s">
        <v>23</v>
      </c>
      <c r="B63" s="8" t="s">
        <v>75</v>
      </c>
      <c r="C63" s="29">
        <f>16.4+160</f>
        <v>176.4</v>
      </c>
    </row>
    <row r="64" spans="1:3" s="5" customFormat="1" ht="16.5" customHeight="1" x14ac:dyDescent="0.25">
      <c r="A64" s="21" t="s">
        <v>24</v>
      </c>
      <c r="B64" s="8" t="s">
        <v>100</v>
      </c>
      <c r="C64" s="29">
        <f>315+80</f>
        <v>395</v>
      </c>
    </row>
    <row r="65" spans="1:3" ht="16.5" customHeight="1" x14ac:dyDescent="0.25">
      <c r="A65" s="7" t="s">
        <v>76</v>
      </c>
      <c r="B65" s="7"/>
      <c r="C65" s="29">
        <f>C29+C62+C63+C64</f>
        <v>9150.2999999999993</v>
      </c>
    </row>
    <row r="66" spans="1:3" ht="32.25" customHeight="1" x14ac:dyDescent="0.25">
      <c r="A66" s="182" t="s">
        <v>104</v>
      </c>
      <c r="B66" s="183"/>
      <c r="C66" s="160">
        <f>C65+C27</f>
        <v>18287.3</v>
      </c>
    </row>
    <row r="67" spans="1:3" ht="16.5" customHeight="1" x14ac:dyDescent="0.25">
      <c r="A67" s="187" t="s">
        <v>472</v>
      </c>
      <c r="B67" s="188"/>
      <c r="C67" s="189"/>
    </row>
    <row r="68" spans="1:3" ht="16.5" customHeight="1" x14ac:dyDescent="0.25">
      <c r="A68" s="21" t="s">
        <v>26</v>
      </c>
      <c r="B68" s="8" t="s">
        <v>9</v>
      </c>
      <c r="C68" s="22">
        <f>C69</f>
        <v>12</v>
      </c>
    </row>
    <row r="69" spans="1:3" ht="16.5" customHeight="1" x14ac:dyDescent="0.25">
      <c r="A69" s="21" t="s">
        <v>27</v>
      </c>
      <c r="B69" s="8" t="s">
        <v>25</v>
      </c>
      <c r="C69" s="22">
        <v>12</v>
      </c>
    </row>
    <row r="70" spans="1:3" ht="16.5" customHeight="1" x14ac:dyDescent="0.25">
      <c r="A70" s="21" t="s">
        <v>31</v>
      </c>
      <c r="B70" s="8" t="s">
        <v>14</v>
      </c>
      <c r="C70" s="22">
        <f>SUM(C71)</f>
        <v>24</v>
      </c>
    </row>
    <row r="71" spans="1:3" ht="16.5" customHeight="1" x14ac:dyDescent="0.25">
      <c r="A71" s="21" t="s">
        <v>33</v>
      </c>
      <c r="B71" s="8" t="s">
        <v>28</v>
      </c>
      <c r="C71" s="22">
        <f>SUM(C72:C73)</f>
        <v>24</v>
      </c>
    </row>
    <row r="72" spans="1:3" ht="16.5" customHeight="1" x14ac:dyDescent="0.25">
      <c r="A72" s="161" t="s">
        <v>325</v>
      </c>
      <c r="B72" s="162" t="s">
        <v>29</v>
      </c>
      <c r="C72" s="23">
        <v>12</v>
      </c>
    </row>
    <row r="73" spans="1:3" ht="16.5" customHeight="1" x14ac:dyDescent="0.25">
      <c r="A73" s="161" t="s">
        <v>326</v>
      </c>
      <c r="B73" s="162" t="s">
        <v>30</v>
      </c>
      <c r="C73" s="23">
        <v>12</v>
      </c>
    </row>
    <row r="74" spans="1:3" ht="16.5" customHeight="1" x14ac:dyDescent="0.25">
      <c r="A74" s="176" t="s">
        <v>471</v>
      </c>
      <c r="B74" s="177"/>
      <c r="C74" s="22">
        <f>SUM(C68,C70)</f>
        <v>36</v>
      </c>
    </row>
    <row r="75" spans="1:3" ht="16.5" customHeight="1" x14ac:dyDescent="0.25">
      <c r="A75" s="187" t="s">
        <v>111</v>
      </c>
      <c r="B75" s="188"/>
      <c r="C75" s="189"/>
    </row>
    <row r="76" spans="1:3" ht="16.5" customHeight="1" x14ac:dyDescent="0.25">
      <c r="A76" s="163" t="s">
        <v>105</v>
      </c>
      <c r="B76" s="8" t="s">
        <v>32</v>
      </c>
      <c r="C76" s="22">
        <f>C77+C78+C79</f>
        <v>199.3</v>
      </c>
    </row>
    <row r="77" spans="1:3" ht="16.5" customHeight="1" x14ac:dyDescent="0.25">
      <c r="A77" s="164" t="s">
        <v>106</v>
      </c>
      <c r="B77" s="162" t="s">
        <v>475</v>
      </c>
      <c r="C77" s="23">
        <f>BIP!E30</f>
        <v>11.1</v>
      </c>
    </row>
    <row r="78" spans="1:3" ht="16.5" customHeight="1" x14ac:dyDescent="0.25">
      <c r="A78" s="161" t="s">
        <v>107</v>
      </c>
      <c r="B78" s="162" t="s">
        <v>34</v>
      </c>
      <c r="C78" s="23">
        <f>BIP!D30</f>
        <v>33.800000000000004</v>
      </c>
    </row>
    <row r="79" spans="1:3" ht="16.5" customHeight="1" x14ac:dyDescent="0.25">
      <c r="A79" s="161" t="s">
        <v>108</v>
      </c>
      <c r="B79" s="162" t="s">
        <v>560</v>
      </c>
      <c r="C79" s="23">
        <f>BIP!F30</f>
        <v>154.4</v>
      </c>
    </row>
    <row r="80" spans="1:3" ht="16.5" customHeight="1" x14ac:dyDescent="0.25">
      <c r="A80" s="178" t="s">
        <v>35</v>
      </c>
      <c r="B80" s="178"/>
      <c r="C80" s="22">
        <f>SUM(C76)</f>
        <v>199.3</v>
      </c>
    </row>
    <row r="81" spans="1:3" ht="16.5" customHeight="1" x14ac:dyDescent="0.25">
      <c r="A81" s="174" t="s">
        <v>501</v>
      </c>
      <c r="B81" s="174"/>
      <c r="C81" s="22">
        <f>C80+C74+C66</f>
        <v>18522.599999999999</v>
      </c>
    </row>
    <row r="82" spans="1:3" x14ac:dyDescent="0.25">
      <c r="A82" s="159"/>
      <c r="B82" s="159" t="s">
        <v>567</v>
      </c>
      <c r="C82" s="23">
        <v>1609.9</v>
      </c>
    </row>
    <row r="83" spans="1:3" x14ac:dyDescent="0.25">
      <c r="A83" s="159"/>
      <c r="B83" s="159" t="s">
        <v>470</v>
      </c>
      <c r="C83" s="23">
        <v>243</v>
      </c>
    </row>
    <row r="84" spans="1:3" ht="15.75" customHeight="1" x14ac:dyDescent="0.25">
      <c r="A84" s="165"/>
      <c r="B84" s="165" t="s">
        <v>502</v>
      </c>
      <c r="C84" s="22">
        <f>SUM(C81:C82)</f>
        <v>20132.5</v>
      </c>
    </row>
    <row r="85" spans="1:3" ht="15.75" customHeight="1" x14ac:dyDescent="0.25">
      <c r="C85" s="12"/>
    </row>
    <row r="86" spans="1:3" ht="15.75" customHeight="1" x14ac:dyDescent="0.25">
      <c r="C86" s="166"/>
    </row>
    <row r="87" spans="1:3" ht="15.75" customHeight="1" x14ac:dyDescent="0.25">
      <c r="C87" s="166"/>
    </row>
  </sheetData>
  <sortState ref="A37:F58">
    <sortCondition ref="B37:B58"/>
  </sortState>
  <mergeCells count="10">
    <mergeCell ref="A81:B81"/>
    <mergeCell ref="A8:C8"/>
    <mergeCell ref="A74:B74"/>
    <mergeCell ref="A80:B80"/>
    <mergeCell ref="A11:C11"/>
    <mergeCell ref="A27:B27"/>
    <mergeCell ref="A28:C28"/>
    <mergeCell ref="A66:B66"/>
    <mergeCell ref="A67:C67"/>
    <mergeCell ref="A75:C75"/>
  </mergeCells>
  <pageMargins left="0.55118110236220474" right="0" top="0.39370078740157483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300"/>
  <sheetViews>
    <sheetView showZeros="0" tabSelected="1" topLeftCell="A78" zoomScaleNormal="100" workbookViewId="0">
      <selection activeCell="L90" sqref="L90"/>
    </sheetView>
  </sheetViews>
  <sheetFormatPr defaultColWidth="9.140625" defaultRowHeight="12.75" outlineLevelRow="3" x14ac:dyDescent="0.2"/>
  <cols>
    <col min="1" max="1" width="8.28515625" style="30" bestFit="1" customWidth="1"/>
    <col min="2" max="2" width="45.7109375" style="31" customWidth="1"/>
    <col min="3" max="3" width="9.85546875" style="30" customWidth="1"/>
    <col min="4" max="4" width="8" style="30" customWidth="1"/>
    <col min="5" max="5" width="8.28515625" style="30" customWidth="1"/>
    <col min="6" max="6" width="9.7109375" style="30" customWidth="1"/>
    <col min="7" max="7" width="7.28515625" style="30" customWidth="1"/>
    <col min="8" max="8" width="8.5703125" style="30" customWidth="1"/>
    <col min="9" max="9" width="9.85546875" style="30" customWidth="1"/>
    <col min="10" max="10" width="7.140625" style="30" customWidth="1"/>
    <col min="11" max="11" width="7.85546875" style="30" customWidth="1"/>
    <col min="12" max="12" width="9.85546875" style="30" customWidth="1"/>
    <col min="13" max="13" width="7.28515625" style="30" customWidth="1"/>
    <col min="14" max="14" width="8" style="30" customWidth="1"/>
    <col min="15" max="15" width="9.5703125" style="30" customWidth="1"/>
    <col min="16" max="16" width="7.140625" style="30" customWidth="1"/>
    <col min="17" max="17" width="8" style="30" customWidth="1"/>
    <col min="18" max="18" width="9.5703125" style="30" customWidth="1"/>
    <col min="19" max="19" width="7.28515625" style="30" customWidth="1"/>
    <col min="20" max="20" width="8" style="30" customWidth="1"/>
    <col min="21" max="21" width="9.5703125" style="30" customWidth="1"/>
    <col min="22" max="16384" width="9.140625" style="30"/>
  </cols>
  <sheetData>
    <row r="1" spans="1:21" ht="15.75" x14ac:dyDescent="0.25">
      <c r="Q1" s="167" t="s">
        <v>566</v>
      </c>
      <c r="R1" s="167"/>
      <c r="U1" s="12"/>
    </row>
    <row r="2" spans="1:21" ht="15.75" x14ac:dyDescent="0.25">
      <c r="Q2" s="167" t="s">
        <v>36</v>
      </c>
      <c r="R2" s="167"/>
      <c r="U2" s="12"/>
    </row>
    <row r="3" spans="1:21" ht="15.75" x14ac:dyDescent="0.25">
      <c r="Q3" s="167" t="s">
        <v>583</v>
      </c>
      <c r="R3" s="167"/>
      <c r="U3" s="12"/>
    </row>
    <row r="4" spans="1:21" ht="15.75" x14ac:dyDescent="0.25">
      <c r="Q4" s="167" t="s">
        <v>584</v>
      </c>
      <c r="R4" s="167"/>
      <c r="U4" s="12"/>
    </row>
    <row r="5" spans="1:21" ht="15.75" x14ac:dyDescent="0.25">
      <c r="Q5" s="167" t="s">
        <v>620</v>
      </c>
      <c r="R5" s="167"/>
      <c r="U5" s="12"/>
    </row>
    <row r="6" spans="1:21" ht="15.75" x14ac:dyDescent="0.25">
      <c r="Q6" s="167" t="s">
        <v>586</v>
      </c>
      <c r="R6" s="167"/>
      <c r="U6" s="12"/>
    </row>
    <row r="7" spans="1:21" ht="20.25" customHeight="1" x14ac:dyDescent="0.2">
      <c r="A7" s="192" t="s">
        <v>569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</row>
    <row r="8" spans="1:21" ht="7.5" customHeight="1" x14ac:dyDescent="0.2">
      <c r="B8" s="35"/>
      <c r="C8" s="35"/>
      <c r="D8" s="35"/>
      <c r="E8" s="36"/>
    </row>
    <row r="9" spans="1:21" x14ac:dyDescent="0.2">
      <c r="B9" s="35"/>
      <c r="C9" s="35"/>
      <c r="D9" s="35"/>
      <c r="E9" s="36"/>
      <c r="U9" s="30" t="s">
        <v>37</v>
      </c>
    </row>
    <row r="10" spans="1:21" ht="15.75" customHeight="1" x14ac:dyDescent="0.2">
      <c r="A10" s="190" t="s">
        <v>114</v>
      </c>
      <c r="B10" s="190" t="s">
        <v>568</v>
      </c>
      <c r="C10" s="190" t="s">
        <v>115</v>
      </c>
      <c r="D10" s="190" t="s">
        <v>116</v>
      </c>
      <c r="E10" s="190"/>
      <c r="F10" s="190"/>
      <c r="G10" s="193" t="s">
        <v>487</v>
      </c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</row>
    <row r="11" spans="1:21" ht="65.25" customHeight="1" x14ac:dyDescent="0.2">
      <c r="A11" s="190"/>
      <c r="B11" s="190"/>
      <c r="C11" s="190"/>
      <c r="D11" s="190"/>
      <c r="E11" s="190"/>
      <c r="F11" s="190"/>
      <c r="G11" s="190" t="s">
        <v>496</v>
      </c>
      <c r="H11" s="190"/>
      <c r="I11" s="190"/>
      <c r="J11" s="190" t="s">
        <v>117</v>
      </c>
      <c r="K11" s="190"/>
      <c r="L11" s="190"/>
      <c r="M11" s="190" t="s">
        <v>118</v>
      </c>
      <c r="N11" s="190"/>
      <c r="O11" s="190"/>
      <c r="P11" s="190" t="s">
        <v>119</v>
      </c>
      <c r="Q11" s="190"/>
      <c r="R11" s="190"/>
      <c r="S11" s="190" t="s">
        <v>484</v>
      </c>
      <c r="T11" s="190"/>
      <c r="U11" s="190"/>
    </row>
    <row r="12" spans="1:21" ht="12.95" customHeight="1" x14ac:dyDescent="0.2">
      <c r="A12" s="190"/>
      <c r="B12" s="190"/>
      <c r="C12" s="190"/>
      <c r="D12" s="190" t="s">
        <v>120</v>
      </c>
      <c r="E12" s="190"/>
      <c r="F12" s="190" t="s">
        <v>491</v>
      </c>
      <c r="G12" s="190" t="s">
        <v>120</v>
      </c>
      <c r="H12" s="190"/>
      <c r="I12" s="190" t="s">
        <v>491</v>
      </c>
      <c r="J12" s="190" t="s">
        <v>120</v>
      </c>
      <c r="K12" s="190"/>
      <c r="L12" s="190" t="s">
        <v>491</v>
      </c>
      <c r="M12" s="190" t="s">
        <v>120</v>
      </c>
      <c r="N12" s="190"/>
      <c r="O12" s="190" t="s">
        <v>491</v>
      </c>
      <c r="P12" s="190" t="s">
        <v>120</v>
      </c>
      <c r="Q12" s="190"/>
      <c r="R12" s="190" t="s">
        <v>491</v>
      </c>
      <c r="S12" s="190" t="s">
        <v>120</v>
      </c>
      <c r="T12" s="190"/>
      <c r="U12" s="190" t="s">
        <v>491</v>
      </c>
    </row>
    <row r="13" spans="1:21" ht="69.75" customHeight="1" x14ac:dyDescent="0.2">
      <c r="A13" s="190"/>
      <c r="B13" s="190"/>
      <c r="C13" s="190"/>
      <c r="D13" s="37" t="s">
        <v>121</v>
      </c>
      <c r="E13" s="38" t="s">
        <v>122</v>
      </c>
      <c r="F13" s="190"/>
      <c r="G13" s="37" t="s">
        <v>121</v>
      </c>
      <c r="H13" s="38" t="s">
        <v>122</v>
      </c>
      <c r="I13" s="190"/>
      <c r="J13" s="37" t="s">
        <v>121</v>
      </c>
      <c r="K13" s="38" t="s">
        <v>122</v>
      </c>
      <c r="L13" s="190"/>
      <c r="M13" s="37" t="s">
        <v>121</v>
      </c>
      <c r="N13" s="38" t="s">
        <v>122</v>
      </c>
      <c r="O13" s="190"/>
      <c r="P13" s="37" t="s">
        <v>121</v>
      </c>
      <c r="Q13" s="38" t="s">
        <v>122</v>
      </c>
      <c r="R13" s="190"/>
      <c r="S13" s="37" t="s">
        <v>121</v>
      </c>
      <c r="T13" s="38" t="s">
        <v>122</v>
      </c>
      <c r="U13" s="190"/>
    </row>
    <row r="14" spans="1:21" x14ac:dyDescent="0.2">
      <c r="A14" s="39">
        <v>1</v>
      </c>
      <c r="B14" s="39">
        <v>2</v>
      </c>
      <c r="C14" s="39">
        <v>3</v>
      </c>
      <c r="D14" s="40">
        <v>4</v>
      </c>
      <c r="E14" s="39">
        <v>5</v>
      </c>
      <c r="F14" s="39">
        <v>6</v>
      </c>
      <c r="G14" s="40">
        <v>7</v>
      </c>
      <c r="H14" s="39">
        <v>8</v>
      </c>
      <c r="I14" s="39">
        <v>9</v>
      </c>
      <c r="J14" s="40">
        <v>10</v>
      </c>
      <c r="K14" s="39">
        <v>11</v>
      </c>
      <c r="L14" s="39">
        <v>12</v>
      </c>
      <c r="M14" s="39">
        <v>13</v>
      </c>
      <c r="N14" s="39">
        <v>14</v>
      </c>
      <c r="O14" s="39">
        <v>15</v>
      </c>
      <c r="P14" s="40">
        <v>16</v>
      </c>
      <c r="Q14" s="39">
        <v>17</v>
      </c>
      <c r="R14" s="39">
        <v>18</v>
      </c>
      <c r="S14" s="40">
        <v>19</v>
      </c>
      <c r="T14" s="39">
        <v>20</v>
      </c>
      <c r="U14" s="39">
        <v>21</v>
      </c>
    </row>
    <row r="15" spans="1:21" s="42" customFormat="1" ht="12.95" customHeight="1" x14ac:dyDescent="0.2">
      <c r="A15" s="41" t="s">
        <v>0</v>
      </c>
      <c r="B15" s="41" t="s">
        <v>123</v>
      </c>
      <c r="C15" s="92">
        <f t="shared" ref="C15:L16" si="0">C16</f>
        <v>63.6</v>
      </c>
      <c r="D15" s="92">
        <f t="shared" si="0"/>
        <v>63.6</v>
      </c>
      <c r="E15" s="92">
        <f t="shared" si="0"/>
        <v>44.5</v>
      </c>
      <c r="F15" s="92">
        <f t="shared" si="0"/>
        <v>0</v>
      </c>
      <c r="G15" s="92">
        <f t="shared" si="0"/>
        <v>2</v>
      </c>
      <c r="H15" s="92">
        <f t="shared" si="0"/>
        <v>1.5</v>
      </c>
      <c r="I15" s="92">
        <f t="shared" si="0"/>
        <v>0</v>
      </c>
      <c r="J15" s="92">
        <f t="shared" si="0"/>
        <v>0</v>
      </c>
      <c r="K15" s="92">
        <f t="shared" si="0"/>
        <v>0</v>
      </c>
      <c r="L15" s="92">
        <f t="shared" si="0"/>
        <v>0</v>
      </c>
      <c r="M15" s="92">
        <f t="shared" ref="M15:U16" si="1">M16</f>
        <v>0</v>
      </c>
      <c r="N15" s="92">
        <f t="shared" si="1"/>
        <v>0</v>
      </c>
      <c r="O15" s="92">
        <f t="shared" si="1"/>
        <v>0</v>
      </c>
      <c r="P15" s="92">
        <f t="shared" si="1"/>
        <v>0</v>
      </c>
      <c r="Q15" s="92">
        <f t="shared" si="1"/>
        <v>0</v>
      </c>
      <c r="R15" s="92">
        <f t="shared" si="1"/>
        <v>0</v>
      </c>
      <c r="S15" s="92">
        <f t="shared" si="1"/>
        <v>61.6</v>
      </c>
      <c r="T15" s="92">
        <f t="shared" si="1"/>
        <v>43</v>
      </c>
      <c r="U15" s="92">
        <f t="shared" si="1"/>
        <v>0</v>
      </c>
    </row>
    <row r="16" spans="1:21" s="42" customFormat="1" outlineLevel="1" x14ac:dyDescent="0.2">
      <c r="A16" s="102" t="s">
        <v>1</v>
      </c>
      <c r="B16" s="43" t="s">
        <v>127</v>
      </c>
      <c r="C16" s="92">
        <f t="shared" si="0"/>
        <v>63.6</v>
      </c>
      <c r="D16" s="92">
        <f t="shared" si="0"/>
        <v>63.6</v>
      </c>
      <c r="E16" s="92">
        <f t="shared" si="0"/>
        <v>44.5</v>
      </c>
      <c r="F16" s="92">
        <f t="shared" si="0"/>
        <v>0</v>
      </c>
      <c r="G16" s="92">
        <f t="shared" si="0"/>
        <v>2</v>
      </c>
      <c r="H16" s="92">
        <f t="shared" si="0"/>
        <v>1.5</v>
      </c>
      <c r="I16" s="92">
        <f t="shared" si="0"/>
        <v>0</v>
      </c>
      <c r="J16" s="92">
        <f t="shared" si="0"/>
        <v>0</v>
      </c>
      <c r="K16" s="92">
        <f t="shared" si="0"/>
        <v>0</v>
      </c>
      <c r="L16" s="92">
        <f t="shared" si="0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2">
        <f t="shared" si="1"/>
        <v>0</v>
      </c>
      <c r="R16" s="92">
        <f t="shared" si="1"/>
        <v>0</v>
      </c>
      <c r="S16" s="92">
        <f t="shared" si="1"/>
        <v>61.6</v>
      </c>
      <c r="T16" s="92">
        <f t="shared" si="1"/>
        <v>43</v>
      </c>
      <c r="U16" s="92">
        <f t="shared" si="1"/>
        <v>0</v>
      </c>
    </row>
    <row r="17" spans="1:21" ht="25.5" outlineLevel="2" x14ac:dyDescent="0.2">
      <c r="A17" s="103" t="s">
        <v>124</v>
      </c>
      <c r="B17" s="44" t="s">
        <v>125</v>
      </c>
      <c r="C17" s="93">
        <f>D17+F17</f>
        <v>63.6</v>
      </c>
      <c r="D17" s="94">
        <f>G17+J17+M17+P17+S17</f>
        <v>63.6</v>
      </c>
      <c r="E17" s="94">
        <f>H17+K17+N17+Q17+T17</f>
        <v>44.5</v>
      </c>
      <c r="F17" s="94">
        <f>I17+L17+O17+R17+U17</f>
        <v>0</v>
      </c>
      <c r="G17" s="95">
        <f>ROUND([1]StaffPresumedMonthlySalary!$S$18/1000,1)</f>
        <v>2</v>
      </c>
      <c r="H17" s="98">
        <f>ROUND([1]StaffPresumedMonthlySalary!$S$16/1000,1)</f>
        <v>1.5</v>
      </c>
      <c r="I17" s="98"/>
      <c r="J17" s="95"/>
      <c r="K17" s="98"/>
      <c r="L17" s="98"/>
      <c r="M17" s="95"/>
      <c r="N17" s="98"/>
      <c r="O17" s="98"/>
      <c r="P17" s="95"/>
      <c r="Q17" s="98"/>
      <c r="R17" s="98"/>
      <c r="S17" s="95">
        <f>ROUND([1]StaffPresumedMonthlySalary!$H$3/1000,1)</f>
        <v>61.6</v>
      </c>
      <c r="T17" s="98">
        <f>ROUND([1]StaffPresumedMonthlySalary!$T$12/1000,1)</f>
        <v>43</v>
      </c>
      <c r="U17" s="98"/>
    </row>
    <row r="18" spans="1:21" s="42" customFormat="1" ht="12.95" customHeight="1" x14ac:dyDescent="0.2">
      <c r="A18" s="104" t="s">
        <v>12</v>
      </c>
      <c r="B18" s="45" t="s">
        <v>126</v>
      </c>
      <c r="C18" s="92">
        <f t="shared" ref="C18:U18" si="2">C19+C39+C43+C46+C50+C54+C56+C59+C68+C71+C74+C78+C83+C91+C106+C114</f>
        <v>10577.8</v>
      </c>
      <c r="D18" s="92">
        <f t="shared" si="2"/>
        <v>8742.1999999999989</v>
      </c>
      <c r="E18" s="92">
        <f t="shared" si="2"/>
        <v>1502.7</v>
      </c>
      <c r="F18" s="92">
        <f t="shared" si="2"/>
        <v>1835.6</v>
      </c>
      <c r="G18" s="92">
        <f t="shared" si="2"/>
        <v>2954.7</v>
      </c>
      <c r="H18" s="92">
        <f t="shared" si="2"/>
        <v>314.09999999999997</v>
      </c>
      <c r="I18" s="92">
        <f t="shared" si="2"/>
        <v>918.6</v>
      </c>
      <c r="J18" s="92">
        <f t="shared" si="2"/>
        <v>21.4</v>
      </c>
      <c r="K18" s="92">
        <f t="shared" si="2"/>
        <v>0</v>
      </c>
      <c r="L18" s="92">
        <f t="shared" si="2"/>
        <v>155</v>
      </c>
      <c r="M18" s="92">
        <f t="shared" si="2"/>
        <v>140.5</v>
      </c>
      <c r="N18" s="92">
        <f t="shared" si="2"/>
        <v>0</v>
      </c>
      <c r="O18" s="92">
        <f t="shared" si="2"/>
        <v>0</v>
      </c>
      <c r="P18" s="92">
        <f t="shared" si="2"/>
        <v>139.60000000000002</v>
      </c>
      <c r="Q18" s="92">
        <f t="shared" si="2"/>
        <v>0</v>
      </c>
      <c r="R18" s="92">
        <f t="shared" si="2"/>
        <v>0</v>
      </c>
      <c r="S18" s="92">
        <f t="shared" si="2"/>
        <v>5486</v>
      </c>
      <c r="T18" s="92">
        <f t="shared" si="2"/>
        <v>1188.5999999999999</v>
      </c>
      <c r="U18" s="92">
        <f t="shared" si="2"/>
        <v>761.99999999999989</v>
      </c>
    </row>
    <row r="19" spans="1:21" s="42" customFormat="1" outlineLevel="1" x14ac:dyDescent="0.2">
      <c r="A19" s="104" t="s">
        <v>13</v>
      </c>
      <c r="B19" s="43" t="s">
        <v>127</v>
      </c>
      <c r="C19" s="92">
        <f t="shared" ref="C19:U19" si="3">SUM(C20:C38)</f>
        <v>2927.8999999999996</v>
      </c>
      <c r="D19" s="92">
        <f t="shared" si="3"/>
        <v>2852.4999999999995</v>
      </c>
      <c r="E19" s="92">
        <f t="shared" si="3"/>
        <v>1391.2</v>
      </c>
      <c r="F19" s="92">
        <f t="shared" si="3"/>
        <v>75.400000000000006</v>
      </c>
      <c r="G19" s="92">
        <f t="shared" si="3"/>
        <v>405.8</v>
      </c>
      <c r="H19" s="92">
        <f t="shared" si="3"/>
        <v>272.39999999999998</v>
      </c>
      <c r="I19" s="92">
        <f t="shared" si="3"/>
        <v>0</v>
      </c>
      <c r="J19" s="92">
        <f t="shared" si="3"/>
        <v>0</v>
      </c>
      <c r="K19" s="92">
        <f t="shared" si="3"/>
        <v>0</v>
      </c>
      <c r="L19" s="92">
        <f t="shared" si="3"/>
        <v>0</v>
      </c>
      <c r="M19" s="92">
        <f t="shared" si="3"/>
        <v>0</v>
      </c>
      <c r="N19" s="92">
        <f t="shared" si="3"/>
        <v>0</v>
      </c>
      <c r="O19" s="92">
        <f t="shared" si="3"/>
        <v>0</v>
      </c>
      <c r="P19" s="92">
        <f t="shared" si="3"/>
        <v>38.1</v>
      </c>
      <c r="Q19" s="92">
        <f t="shared" si="3"/>
        <v>0</v>
      </c>
      <c r="R19" s="92">
        <f t="shared" si="3"/>
        <v>0</v>
      </c>
      <c r="S19" s="92">
        <f t="shared" si="3"/>
        <v>2408.6</v>
      </c>
      <c r="T19" s="92">
        <f t="shared" si="3"/>
        <v>1118.8</v>
      </c>
      <c r="U19" s="92">
        <f t="shared" si="3"/>
        <v>75.400000000000006</v>
      </c>
    </row>
    <row r="20" spans="1:21" outlineLevel="2" x14ac:dyDescent="0.2">
      <c r="A20" s="105" t="s">
        <v>128</v>
      </c>
      <c r="B20" s="44" t="s">
        <v>135</v>
      </c>
      <c r="C20" s="93">
        <f t="shared" ref="C20:C38" si="4">D20+F20</f>
        <v>12.5</v>
      </c>
      <c r="D20" s="94">
        <f t="shared" ref="D20:D38" si="5">G20+J20+M20+P20+S20</f>
        <v>12.5</v>
      </c>
      <c r="E20" s="94">
        <f t="shared" ref="E20:E38" si="6">H20+K20+N20+Q20+T20</f>
        <v>8.1</v>
      </c>
      <c r="F20" s="94">
        <f t="shared" ref="F20:F38" si="7">I20+L20+O20+R20+U20</f>
        <v>0</v>
      </c>
      <c r="G20" s="94">
        <f>ROUND([2]Budget_F2_Summary!$F$129/1000,1)+ROUND('[3]2017-06-28'!$G$12/1000,1)</f>
        <v>12.5</v>
      </c>
      <c r="H20" s="94">
        <f>ROUND([2]Budget_F2_Summary!$F$125/1000,1)+ROUND('[3]2017-06-28'!$H$12/1000,1)</f>
        <v>8.1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1:21" outlineLevel="2" x14ac:dyDescent="0.2">
      <c r="A21" s="105" t="s">
        <v>130</v>
      </c>
      <c r="B21" s="44" t="s">
        <v>153</v>
      </c>
      <c r="C21" s="93">
        <f t="shared" si="4"/>
        <v>35.799999999999997</v>
      </c>
      <c r="D21" s="94">
        <f t="shared" si="5"/>
        <v>35.799999999999997</v>
      </c>
      <c r="E21" s="94">
        <f t="shared" si="6"/>
        <v>27.3</v>
      </c>
      <c r="F21" s="94">
        <f t="shared" si="7"/>
        <v>0</v>
      </c>
      <c r="G21" s="94">
        <f>ROUND([2]Budget_F2_Summary!$F$115/1000,1)</f>
        <v>24</v>
      </c>
      <c r="H21" s="94">
        <f>ROUND([2]Budget_F2_Summary!$F$113/1000,1)</f>
        <v>18.3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>
        <f>ROUND([2]Budget_F2_Summary!$F$111/1000,1)</f>
        <v>11.8</v>
      </c>
      <c r="T21" s="95">
        <f>ROUND([2]Budget_F2_Summary!$F$109/1000,1)</f>
        <v>9</v>
      </c>
      <c r="U21" s="95"/>
    </row>
    <row r="22" spans="1:21" outlineLevel="2" x14ac:dyDescent="0.2">
      <c r="A22" s="105" t="s">
        <v>132</v>
      </c>
      <c r="B22" s="44" t="s">
        <v>155</v>
      </c>
      <c r="C22" s="93">
        <f t="shared" si="4"/>
        <v>13.8</v>
      </c>
      <c r="D22" s="94">
        <f t="shared" si="5"/>
        <v>13.8</v>
      </c>
      <c r="E22" s="94">
        <f t="shared" si="6"/>
        <v>3.8</v>
      </c>
      <c r="F22" s="94">
        <f t="shared" si="7"/>
        <v>0</v>
      </c>
      <c r="G22" s="94">
        <f>ROUND([2]Budget_F2_Summary!$F$142/1000,1)</f>
        <v>13.8</v>
      </c>
      <c r="H22" s="94">
        <f>ROUND([2]Budget_F2_Summary!$F$137/1000,1)</f>
        <v>3.8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outlineLevel="2" x14ac:dyDescent="0.2">
      <c r="A23" s="105" t="s">
        <v>134</v>
      </c>
      <c r="B23" s="44" t="s">
        <v>157</v>
      </c>
      <c r="C23" s="93">
        <f t="shared" si="4"/>
        <v>5</v>
      </c>
      <c r="D23" s="94">
        <f t="shared" si="5"/>
        <v>5</v>
      </c>
      <c r="E23" s="94">
        <f t="shared" si="6"/>
        <v>0</v>
      </c>
      <c r="F23" s="94">
        <f t="shared" si="7"/>
        <v>0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>
        <f>ROUND([2]Budget_F2_Summary!$F$404/1000,1)</f>
        <v>5</v>
      </c>
      <c r="T23" s="95"/>
      <c r="U23" s="95"/>
    </row>
    <row r="24" spans="1:21" outlineLevel="2" x14ac:dyDescent="0.2">
      <c r="A24" s="105" t="s">
        <v>136</v>
      </c>
      <c r="B24" s="44" t="s">
        <v>82</v>
      </c>
      <c r="C24" s="93">
        <f t="shared" si="4"/>
        <v>0.6</v>
      </c>
      <c r="D24" s="94">
        <f t="shared" si="5"/>
        <v>0.6</v>
      </c>
      <c r="E24" s="94">
        <f t="shared" si="6"/>
        <v>0.5</v>
      </c>
      <c r="F24" s="94">
        <f t="shared" si="7"/>
        <v>0</v>
      </c>
      <c r="G24" s="94">
        <f>ROUND([2]Budget_F2_Summary!$F$123/1000,1)</f>
        <v>0.6</v>
      </c>
      <c r="H24" s="94">
        <f>ROUND([2]Budget_F2_Summary!$F$121/1000,1)</f>
        <v>0.5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outlineLevel="2" x14ac:dyDescent="0.2">
      <c r="A25" s="105" t="s">
        <v>138</v>
      </c>
      <c r="B25" s="44" t="s">
        <v>141</v>
      </c>
      <c r="C25" s="93">
        <f t="shared" si="4"/>
        <v>10.6</v>
      </c>
      <c r="D25" s="94">
        <f t="shared" si="5"/>
        <v>10.6</v>
      </c>
      <c r="E25" s="94">
        <f t="shared" si="6"/>
        <v>0.6</v>
      </c>
      <c r="F25" s="94">
        <f t="shared" si="7"/>
        <v>0</v>
      </c>
      <c r="G25" s="94">
        <f>ROUND([2]Budget_F2_Summary!$F$168/1000,1)</f>
        <v>10.6</v>
      </c>
      <c r="H25" s="95">
        <f>ROUND([2]Budget_F2_Summary!$F$165/1000,1)</f>
        <v>0.6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outlineLevel="2" x14ac:dyDescent="0.2">
      <c r="A26" s="105" t="s">
        <v>140</v>
      </c>
      <c r="B26" s="44" t="s">
        <v>150</v>
      </c>
      <c r="C26" s="93">
        <f t="shared" si="4"/>
        <v>0.3</v>
      </c>
      <c r="D26" s="94">
        <f t="shared" si="5"/>
        <v>0.3</v>
      </c>
      <c r="E26" s="94">
        <f t="shared" si="6"/>
        <v>0.2</v>
      </c>
      <c r="F26" s="94">
        <f t="shared" si="7"/>
        <v>0</v>
      </c>
      <c r="G26" s="94">
        <f>ROUND([2]Budget_F2_Summary!$F$119/1000,1)</f>
        <v>0.3</v>
      </c>
      <c r="H26" s="94">
        <f>ROUND([2]Budget_F2_Summary!$F$117/1000,1)</f>
        <v>0.2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21" outlineLevel="2" x14ac:dyDescent="0.2">
      <c r="A27" s="105" t="s">
        <v>142</v>
      </c>
      <c r="B27" s="44" t="s">
        <v>159</v>
      </c>
      <c r="C27" s="93">
        <f t="shared" si="4"/>
        <v>242</v>
      </c>
      <c r="D27" s="94">
        <f t="shared" si="5"/>
        <v>242</v>
      </c>
      <c r="E27" s="94">
        <f t="shared" si="6"/>
        <v>0</v>
      </c>
      <c r="F27" s="94">
        <f t="shared" si="7"/>
        <v>0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>
        <f>ROUND([2]Budget_F2_Summary!$F$163/1000+'[3]2017-05-18'!$S$19/1000,1)</f>
        <v>242</v>
      </c>
      <c r="T27" s="95"/>
      <c r="U27" s="95"/>
    </row>
    <row r="28" spans="1:21" outlineLevel="2" x14ac:dyDescent="0.2">
      <c r="A28" s="105" t="s">
        <v>144</v>
      </c>
      <c r="B28" s="44" t="s">
        <v>161</v>
      </c>
      <c r="C28" s="93">
        <f t="shared" si="4"/>
        <v>8.8000000000000007</v>
      </c>
      <c r="D28" s="94">
        <f t="shared" si="5"/>
        <v>8.8000000000000007</v>
      </c>
      <c r="E28" s="94">
        <f t="shared" si="6"/>
        <v>0</v>
      </c>
      <c r="F28" s="94">
        <f t="shared" si="7"/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>
        <f>ROUND([2]Budget_F2_Summary!$F$310/1000,1)</f>
        <v>8.8000000000000007</v>
      </c>
      <c r="T28" s="95"/>
      <c r="U28" s="95"/>
    </row>
    <row r="29" spans="1:21" outlineLevel="2" x14ac:dyDescent="0.2">
      <c r="A29" s="105" t="s">
        <v>146</v>
      </c>
      <c r="B29" s="44" t="s">
        <v>137</v>
      </c>
      <c r="C29" s="93">
        <f t="shared" si="4"/>
        <v>7.5</v>
      </c>
      <c r="D29" s="94">
        <f t="shared" si="5"/>
        <v>7.5</v>
      </c>
      <c r="E29" s="94">
        <f t="shared" si="6"/>
        <v>5.0999999999999996</v>
      </c>
      <c r="F29" s="94">
        <f t="shared" si="7"/>
        <v>0</v>
      </c>
      <c r="G29" s="94">
        <f>ROUND([2]Budget_F2_Summary!$F$135/1000,1)</f>
        <v>7.5</v>
      </c>
      <c r="H29" s="94">
        <f>ROUND([2]Budget_F2_Summary!$F$131/1000,1)</f>
        <v>5.0999999999999996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  <row r="30" spans="1:21" outlineLevel="2" x14ac:dyDescent="0.2">
      <c r="A30" s="105" t="s">
        <v>147</v>
      </c>
      <c r="B30" s="44" t="s">
        <v>139</v>
      </c>
      <c r="C30" s="93">
        <f t="shared" si="4"/>
        <v>6.2</v>
      </c>
      <c r="D30" s="94">
        <f t="shared" si="5"/>
        <v>6.2</v>
      </c>
      <c r="E30" s="94">
        <f t="shared" si="6"/>
        <v>4.5</v>
      </c>
      <c r="F30" s="94">
        <f t="shared" si="7"/>
        <v>0</v>
      </c>
      <c r="G30" s="94">
        <f>ROUND([2]Budget_F2_Summary!$F$107/1000,1)</f>
        <v>6.2</v>
      </c>
      <c r="H30" s="94">
        <f>ROUND([2]Budget_F2_Summary!$F$103/1000+'[3]2017-04-28'!$H$22/1000,1)</f>
        <v>4.5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</row>
    <row r="31" spans="1:21" outlineLevel="2" x14ac:dyDescent="0.2">
      <c r="A31" s="105" t="s">
        <v>149</v>
      </c>
      <c r="B31" s="44" t="s">
        <v>131</v>
      </c>
      <c r="C31" s="93">
        <f t="shared" si="4"/>
        <v>2000.1</v>
      </c>
      <c r="D31" s="94">
        <f t="shared" si="5"/>
        <v>1924.6999999999998</v>
      </c>
      <c r="E31" s="94">
        <f t="shared" si="6"/>
        <v>966.9</v>
      </c>
      <c r="F31" s="94">
        <f t="shared" si="7"/>
        <v>75.400000000000006</v>
      </c>
      <c r="G31" s="95">
        <f>ROUND([2]Budget_F2_Summary!$F$542/1000+'[3]2017-04-28'!$G$23/1000,1)</f>
        <v>57.5</v>
      </c>
      <c r="H31" s="95">
        <f>ROUND([2]Budget_F2_Summary!$F$540/1000+'[3]2017-04-28'!$H$23/1000,1)</f>
        <v>43.9</v>
      </c>
      <c r="I31" s="95"/>
      <c r="J31" s="95"/>
      <c r="K31" s="95"/>
      <c r="L31" s="95"/>
      <c r="M31" s="95"/>
      <c r="N31" s="95"/>
      <c r="O31" s="95"/>
      <c r="P31" s="95">
        <f>' 2016 m. nepanaudotos pajamos'!G18</f>
        <v>38.1</v>
      </c>
      <c r="Q31" s="95"/>
      <c r="R31" s="95"/>
      <c r="S31" s="94">
        <f>ROUND([2]Budget_F2_Summary!$F$19/1000+[2]Budget_F2_Summary!$F$21/1000+[2]Budget_F2_Summary!$F$236/1000,1)</f>
        <v>1829.1</v>
      </c>
      <c r="T31" s="94">
        <f>ROUND([2]Budget_F2_Summary!$F$12/1000+[2]Budget_F2_Summary!$F$22/1000+[2]Budget_F2_Summary!$F$234/1000,1)</f>
        <v>923</v>
      </c>
      <c r="U31" s="95">
        <f>ROUND([2]Budget_F2_Summary!$F$40/1000,1)</f>
        <v>75.400000000000006</v>
      </c>
    </row>
    <row r="32" spans="1:21" outlineLevel="2" x14ac:dyDescent="0.2">
      <c r="A32" s="105" t="s">
        <v>151</v>
      </c>
      <c r="B32" s="44" t="s">
        <v>129</v>
      </c>
      <c r="C32" s="93">
        <f t="shared" si="4"/>
        <v>163.19999999999999</v>
      </c>
      <c r="D32" s="94">
        <f t="shared" si="5"/>
        <v>163.19999999999999</v>
      </c>
      <c r="E32" s="94">
        <f t="shared" si="6"/>
        <v>93</v>
      </c>
      <c r="F32" s="94">
        <f t="shared" si="7"/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>
        <f>ROUND([2]Budget_F2_Summary!$F$72/1000+[2]Budget_F2_Summary!$F$78/1000,1)</f>
        <v>163.19999999999999</v>
      </c>
      <c r="T32" s="95">
        <f>ROUND([2]Budget_F2_Summary!$F$70/1000,1000)</f>
        <v>93</v>
      </c>
      <c r="U32" s="95"/>
    </row>
    <row r="33" spans="1:21" outlineLevel="2" x14ac:dyDescent="0.2">
      <c r="A33" s="105" t="s">
        <v>152</v>
      </c>
      <c r="B33" s="44" t="s">
        <v>163</v>
      </c>
      <c r="C33" s="93">
        <f t="shared" si="4"/>
        <v>11</v>
      </c>
      <c r="D33" s="94">
        <f t="shared" si="5"/>
        <v>11</v>
      </c>
      <c r="E33" s="94">
        <f t="shared" si="6"/>
        <v>0</v>
      </c>
      <c r="F33" s="94">
        <f t="shared" si="7"/>
        <v>0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>
        <f>ROUND([2]Budget_F2_Summary!$F$75/1000,1)</f>
        <v>11</v>
      </c>
      <c r="T33" s="95"/>
      <c r="U33" s="95"/>
    </row>
    <row r="34" spans="1:21" outlineLevel="2" x14ac:dyDescent="0.2">
      <c r="A34" s="105" t="s">
        <v>154</v>
      </c>
      <c r="B34" s="44" t="s">
        <v>143</v>
      </c>
      <c r="C34" s="93">
        <f t="shared" si="4"/>
        <v>122.4</v>
      </c>
      <c r="D34" s="94">
        <f t="shared" si="5"/>
        <v>122.4</v>
      </c>
      <c r="E34" s="94">
        <f t="shared" si="6"/>
        <v>82.2</v>
      </c>
      <c r="F34" s="94">
        <f t="shared" si="7"/>
        <v>0</v>
      </c>
      <c r="G34" s="94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>
        <f>ROUND([2]Budget_F2_Summary!$F$219/1000,1)</f>
        <v>122.4</v>
      </c>
      <c r="T34" s="95">
        <f>ROUND([2]Budget_F2_Summary!$F$214/1000,1)</f>
        <v>82.2</v>
      </c>
      <c r="U34" s="95"/>
    </row>
    <row r="35" spans="1:21" outlineLevel="2" x14ac:dyDescent="0.2">
      <c r="A35" s="105" t="s">
        <v>156</v>
      </c>
      <c r="B35" s="44" t="s">
        <v>148</v>
      </c>
      <c r="C35" s="93">
        <f t="shared" si="4"/>
        <v>70.3</v>
      </c>
      <c r="D35" s="94">
        <f t="shared" si="5"/>
        <v>70.3</v>
      </c>
      <c r="E35" s="94">
        <f t="shared" si="6"/>
        <v>49.5</v>
      </c>
      <c r="F35" s="94">
        <f t="shared" si="7"/>
        <v>0</v>
      </c>
      <c r="G35" s="94">
        <f>ROUND([2]Budget_F2_Summary!$F$153/1000+[2]Budget_F2_Summary!$F$158/1000,1)</f>
        <v>62.4</v>
      </c>
      <c r="H35" s="94">
        <f>ROUND([2]Budget_F2_Summary!$F$144/1000+[2]Budget_F2_Summary!$F$155/1000,1)</f>
        <v>43.5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>
        <f>ROUND([2]Budget_F2_Summary!$F$339/1000,1)</f>
        <v>7.9</v>
      </c>
      <c r="T35" s="95">
        <f>ROUND([2]Budget_F2_Summary!$F$337/1000,1)</f>
        <v>6</v>
      </c>
      <c r="U35" s="95"/>
    </row>
    <row r="36" spans="1:21" outlineLevel="2" x14ac:dyDescent="0.2">
      <c r="A36" s="105" t="s">
        <v>158</v>
      </c>
      <c r="B36" s="44" t="s">
        <v>96</v>
      </c>
      <c r="C36" s="93">
        <f t="shared" si="4"/>
        <v>15.2</v>
      </c>
      <c r="D36" s="94">
        <f t="shared" si="5"/>
        <v>15.2</v>
      </c>
      <c r="E36" s="94">
        <f t="shared" si="6"/>
        <v>11.6</v>
      </c>
      <c r="F36" s="94">
        <f t="shared" si="7"/>
        <v>0</v>
      </c>
      <c r="G36" s="95">
        <f>ROUND([2]Budget_F2_Summary!$F$101/1000,1)</f>
        <v>7.8</v>
      </c>
      <c r="H36" s="95">
        <f>ROUND([2]Budget_F2_Summary!$F$99/1000,1)</f>
        <v>6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>
        <f>ROUND([2]Budget_F2_Summary!$F$97/1000,1)</f>
        <v>7.4</v>
      </c>
      <c r="T36" s="95">
        <f>ROUND([2]Budget_F2_Summary!$F$95/1000,1)</f>
        <v>5.6</v>
      </c>
      <c r="U36" s="95"/>
    </row>
    <row r="37" spans="1:21" ht="25.5" outlineLevel="2" x14ac:dyDescent="0.2">
      <c r="A37" s="105" t="s">
        <v>160</v>
      </c>
      <c r="B37" s="44" t="s">
        <v>145</v>
      </c>
      <c r="C37" s="93">
        <f t="shared" si="4"/>
        <v>0.6</v>
      </c>
      <c r="D37" s="94">
        <f t="shared" si="5"/>
        <v>0.6</v>
      </c>
      <c r="E37" s="94">
        <f t="shared" si="6"/>
        <v>0</v>
      </c>
      <c r="F37" s="94">
        <f t="shared" si="7"/>
        <v>0</v>
      </c>
      <c r="G37" s="95">
        <f>ROUND([2]Budget_F2_Summary!$F$68/1000,1)</f>
        <v>0.6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1" outlineLevel="2" x14ac:dyDescent="0.2">
      <c r="A38" s="105" t="s">
        <v>162</v>
      </c>
      <c r="B38" s="44" t="s">
        <v>133</v>
      </c>
      <c r="C38" s="93">
        <f t="shared" si="4"/>
        <v>202</v>
      </c>
      <c r="D38" s="94">
        <f t="shared" si="5"/>
        <v>202</v>
      </c>
      <c r="E38" s="94">
        <f t="shared" si="6"/>
        <v>137.9</v>
      </c>
      <c r="F38" s="94">
        <f t="shared" si="7"/>
        <v>0</v>
      </c>
      <c r="G38" s="95">
        <f>ROUND([2]Budget_F2_Summary!$F$53/1000+'[3]2017-04-28'!$G$30/1000,1)+ROUND('[3]2017-06-28'!$G$30/1000,1)</f>
        <v>202</v>
      </c>
      <c r="H38" s="95">
        <f>ROUND([2]Budget_F2_Summary!$F$43/1000+'[3]2017-04-28'!$H$30/1000,1)+ROUND('[3]2017-06-28'!$H$30/1000,1)</f>
        <v>137.9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1:21" s="42" customFormat="1" ht="15" customHeight="1" outlineLevel="1" x14ac:dyDescent="0.2">
      <c r="A39" s="104" t="s">
        <v>16</v>
      </c>
      <c r="B39" s="43" t="s">
        <v>164</v>
      </c>
      <c r="C39" s="92">
        <f t="shared" ref="C39:U39" si="8">SUM(C40:C42)</f>
        <v>27</v>
      </c>
      <c r="D39" s="92">
        <f t="shared" si="8"/>
        <v>27</v>
      </c>
      <c r="E39" s="92">
        <f t="shared" si="8"/>
        <v>0</v>
      </c>
      <c r="F39" s="92">
        <f t="shared" si="8"/>
        <v>0</v>
      </c>
      <c r="G39" s="92">
        <f t="shared" si="8"/>
        <v>0</v>
      </c>
      <c r="H39" s="92">
        <f t="shared" si="8"/>
        <v>0</v>
      </c>
      <c r="I39" s="92">
        <f t="shared" si="8"/>
        <v>0</v>
      </c>
      <c r="J39" s="92">
        <f t="shared" si="8"/>
        <v>0</v>
      </c>
      <c r="K39" s="92">
        <f t="shared" si="8"/>
        <v>0</v>
      </c>
      <c r="L39" s="92">
        <f t="shared" si="8"/>
        <v>0</v>
      </c>
      <c r="M39" s="92">
        <f t="shared" si="8"/>
        <v>0</v>
      </c>
      <c r="N39" s="92">
        <f t="shared" si="8"/>
        <v>0</v>
      </c>
      <c r="O39" s="92">
        <f t="shared" si="8"/>
        <v>0</v>
      </c>
      <c r="P39" s="92">
        <f t="shared" si="8"/>
        <v>0</v>
      </c>
      <c r="Q39" s="92">
        <f t="shared" si="8"/>
        <v>0</v>
      </c>
      <c r="R39" s="92">
        <f t="shared" si="8"/>
        <v>0</v>
      </c>
      <c r="S39" s="92">
        <f t="shared" si="8"/>
        <v>27</v>
      </c>
      <c r="T39" s="92">
        <f t="shared" si="8"/>
        <v>0</v>
      </c>
      <c r="U39" s="92">
        <f t="shared" si="8"/>
        <v>0</v>
      </c>
    </row>
    <row r="40" spans="1:21" outlineLevel="2" x14ac:dyDescent="0.2">
      <c r="A40" s="105" t="s">
        <v>165</v>
      </c>
      <c r="B40" s="46" t="s">
        <v>168</v>
      </c>
      <c r="C40" s="93">
        <f>D40+F40</f>
        <v>17</v>
      </c>
      <c r="D40" s="94">
        <f t="shared" ref="D40:F42" si="9">G40+J40+M40+P40+S40</f>
        <v>17</v>
      </c>
      <c r="E40" s="94">
        <f t="shared" si="9"/>
        <v>0</v>
      </c>
      <c r="F40" s="94">
        <f t="shared" si="9"/>
        <v>0</v>
      </c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>
        <f>ROUND([2]Budget_F2_Summary!$F$352/1000,1)</f>
        <v>17</v>
      </c>
      <c r="T40" s="95"/>
      <c r="U40" s="95"/>
    </row>
    <row r="41" spans="1:21" ht="25.5" outlineLevel="2" x14ac:dyDescent="0.2">
      <c r="A41" s="105" t="s">
        <v>167</v>
      </c>
      <c r="B41" s="46" t="s">
        <v>170</v>
      </c>
      <c r="C41" s="93">
        <f>D41+F41</f>
        <v>5</v>
      </c>
      <c r="D41" s="94">
        <f t="shared" si="9"/>
        <v>5</v>
      </c>
      <c r="E41" s="94">
        <f t="shared" si="9"/>
        <v>0</v>
      </c>
      <c r="F41" s="94">
        <f t="shared" si="9"/>
        <v>0</v>
      </c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>
        <f>ROUND([2]Budget_F2_Summary!$F$348/1000,1)</f>
        <v>5</v>
      </c>
      <c r="T41" s="95"/>
      <c r="U41" s="95"/>
    </row>
    <row r="42" spans="1:21" outlineLevel="2" x14ac:dyDescent="0.2">
      <c r="A42" s="105" t="s">
        <v>169</v>
      </c>
      <c r="B42" s="46" t="s">
        <v>166</v>
      </c>
      <c r="C42" s="93">
        <f>D42+F42</f>
        <v>5</v>
      </c>
      <c r="D42" s="94">
        <f t="shared" si="9"/>
        <v>5</v>
      </c>
      <c r="E42" s="94">
        <f t="shared" si="9"/>
        <v>0</v>
      </c>
      <c r="F42" s="94">
        <f t="shared" si="9"/>
        <v>0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>
        <f>ROUND([2]Budget_F2_Summary!$F$355/1000,1)</f>
        <v>5</v>
      </c>
      <c r="T42" s="95"/>
      <c r="U42" s="95"/>
    </row>
    <row r="43" spans="1:21" s="42" customFormat="1" ht="25.5" outlineLevel="1" x14ac:dyDescent="0.2">
      <c r="A43" s="104" t="s">
        <v>171</v>
      </c>
      <c r="B43" s="43" t="s">
        <v>561</v>
      </c>
      <c r="C43" s="92">
        <f t="shared" ref="C43:U43" si="10">SUM(C44:C45)</f>
        <v>18.2</v>
      </c>
      <c r="D43" s="92">
        <f t="shared" si="10"/>
        <v>18.2</v>
      </c>
      <c r="E43" s="92">
        <f t="shared" si="10"/>
        <v>0</v>
      </c>
      <c r="F43" s="92">
        <f t="shared" si="10"/>
        <v>0</v>
      </c>
      <c r="G43" s="92">
        <f t="shared" si="10"/>
        <v>0</v>
      </c>
      <c r="H43" s="92">
        <f t="shared" si="10"/>
        <v>0</v>
      </c>
      <c r="I43" s="92">
        <f t="shared" si="10"/>
        <v>0</v>
      </c>
      <c r="J43" s="92">
        <f t="shared" si="10"/>
        <v>0</v>
      </c>
      <c r="K43" s="92">
        <f t="shared" si="10"/>
        <v>0</v>
      </c>
      <c r="L43" s="92">
        <f t="shared" si="10"/>
        <v>0</v>
      </c>
      <c r="M43" s="92">
        <f t="shared" si="10"/>
        <v>0</v>
      </c>
      <c r="N43" s="92">
        <f t="shared" si="10"/>
        <v>0</v>
      </c>
      <c r="O43" s="92">
        <f t="shared" si="10"/>
        <v>0</v>
      </c>
      <c r="P43" s="92">
        <f t="shared" si="10"/>
        <v>0</v>
      </c>
      <c r="Q43" s="92">
        <f t="shared" si="10"/>
        <v>0</v>
      </c>
      <c r="R43" s="92">
        <f t="shared" si="10"/>
        <v>0</v>
      </c>
      <c r="S43" s="92">
        <f t="shared" si="10"/>
        <v>18.2</v>
      </c>
      <c r="T43" s="92">
        <f t="shared" si="10"/>
        <v>0</v>
      </c>
      <c r="U43" s="92">
        <f t="shared" si="10"/>
        <v>0</v>
      </c>
    </row>
    <row r="44" spans="1:21" ht="25.5" outlineLevel="2" x14ac:dyDescent="0.2">
      <c r="A44" s="106" t="s">
        <v>172</v>
      </c>
      <c r="B44" s="46" t="s">
        <v>175</v>
      </c>
      <c r="C44" s="93">
        <f>D44+F44</f>
        <v>3</v>
      </c>
      <c r="D44" s="94">
        <f t="shared" ref="D44:F45" si="11">G44+J44+M44+P44+S44</f>
        <v>3</v>
      </c>
      <c r="E44" s="94">
        <f t="shared" si="11"/>
        <v>0</v>
      </c>
      <c r="F44" s="94">
        <f t="shared" si="11"/>
        <v>0</v>
      </c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>
        <f>ROUND(N44+[2]Budget_F2_Summary!$F$260/1000,1)</f>
        <v>3</v>
      </c>
      <c r="T44" s="95"/>
      <c r="U44" s="95"/>
    </row>
    <row r="45" spans="1:21" outlineLevel="2" x14ac:dyDescent="0.2">
      <c r="A45" s="106" t="s">
        <v>174</v>
      </c>
      <c r="B45" s="46" t="s">
        <v>173</v>
      </c>
      <c r="C45" s="93">
        <f>D45+F45</f>
        <v>15.2</v>
      </c>
      <c r="D45" s="94">
        <f t="shared" si="11"/>
        <v>15.2</v>
      </c>
      <c r="E45" s="94">
        <f t="shared" si="11"/>
        <v>0</v>
      </c>
      <c r="F45" s="94">
        <f t="shared" si="11"/>
        <v>0</v>
      </c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>
        <f>ROUND([2]Budget_F2_Summary!$F$263/1000,1)</f>
        <v>15.2</v>
      </c>
      <c r="T45" s="95"/>
      <c r="U45" s="95"/>
    </row>
    <row r="46" spans="1:21" s="42" customFormat="1" outlineLevel="1" x14ac:dyDescent="0.2">
      <c r="A46" s="107" t="s">
        <v>18</v>
      </c>
      <c r="B46" s="43" t="s">
        <v>562</v>
      </c>
      <c r="C46" s="92">
        <f t="shared" ref="C46:U46" si="12">SUM(C47:C49)</f>
        <v>187.1</v>
      </c>
      <c r="D46" s="92">
        <f t="shared" si="12"/>
        <v>187.1</v>
      </c>
      <c r="E46" s="92">
        <f t="shared" si="12"/>
        <v>0</v>
      </c>
      <c r="F46" s="92">
        <f t="shared" si="12"/>
        <v>0</v>
      </c>
      <c r="G46" s="92">
        <f t="shared" si="12"/>
        <v>0</v>
      </c>
      <c r="H46" s="92">
        <f t="shared" si="12"/>
        <v>0</v>
      </c>
      <c r="I46" s="92">
        <f t="shared" si="12"/>
        <v>0</v>
      </c>
      <c r="J46" s="92">
        <f t="shared" si="12"/>
        <v>0</v>
      </c>
      <c r="K46" s="92">
        <f t="shared" si="12"/>
        <v>0</v>
      </c>
      <c r="L46" s="92">
        <f t="shared" si="12"/>
        <v>0</v>
      </c>
      <c r="M46" s="92">
        <f t="shared" si="12"/>
        <v>0</v>
      </c>
      <c r="N46" s="92">
        <f t="shared" si="12"/>
        <v>0</v>
      </c>
      <c r="O46" s="92">
        <f t="shared" si="12"/>
        <v>0</v>
      </c>
      <c r="P46" s="92">
        <f t="shared" si="12"/>
        <v>0</v>
      </c>
      <c r="Q46" s="92">
        <f t="shared" si="12"/>
        <v>0</v>
      </c>
      <c r="R46" s="92">
        <f t="shared" si="12"/>
        <v>0</v>
      </c>
      <c r="S46" s="92">
        <f t="shared" si="12"/>
        <v>187.1</v>
      </c>
      <c r="T46" s="92">
        <f t="shared" si="12"/>
        <v>0</v>
      </c>
      <c r="U46" s="92">
        <f t="shared" si="12"/>
        <v>0</v>
      </c>
    </row>
    <row r="47" spans="1:21" ht="25.5" outlineLevel="2" x14ac:dyDescent="0.2">
      <c r="A47" s="108" t="s">
        <v>177</v>
      </c>
      <c r="B47" s="46" t="s">
        <v>179</v>
      </c>
      <c r="C47" s="93">
        <f>D47+F47</f>
        <v>80</v>
      </c>
      <c r="D47" s="94">
        <f t="shared" ref="D47:F48" si="13">G47+J47+M47+P47+S47</f>
        <v>80</v>
      </c>
      <c r="E47" s="94">
        <f t="shared" si="13"/>
        <v>0</v>
      </c>
      <c r="F47" s="94">
        <f t="shared" si="13"/>
        <v>0</v>
      </c>
      <c r="G47" s="95"/>
      <c r="H47" s="98"/>
      <c r="I47" s="98"/>
      <c r="J47" s="95"/>
      <c r="K47" s="98"/>
      <c r="L47" s="98"/>
      <c r="M47" s="95"/>
      <c r="N47" s="98"/>
      <c r="O47" s="98"/>
      <c r="P47" s="95"/>
      <c r="Q47" s="98"/>
      <c r="R47" s="98"/>
      <c r="S47" s="95">
        <f>ROUND([2]Budget_F2_Summary!$F$232/1000,1)</f>
        <v>80</v>
      </c>
      <c r="T47" s="98"/>
      <c r="U47" s="98"/>
    </row>
    <row r="48" spans="1:21" ht="25.5" outlineLevel="2" x14ac:dyDescent="0.2">
      <c r="A48" s="108" t="s">
        <v>499</v>
      </c>
      <c r="B48" s="46" t="s">
        <v>178</v>
      </c>
      <c r="C48" s="93">
        <f>D48+F48</f>
        <v>36</v>
      </c>
      <c r="D48" s="94">
        <f t="shared" si="13"/>
        <v>36</v>
      </c>
      <c r="E48" s="94">
        <f t="shared" si="13"/>
        <v>0</v>
      </c>
      <c r="F48" s="94">
        <f t="shared" si="13"/>
        <v>0</v>
      </c>
      <c r="G48" s="95"/>
      <c r="H48" s="98"/>
      <c r="I48" s="98"/>
      <c r="J48" s="95"/>
      <c r="K48" s="98"/>
      <c r="L48" s="98"/>
      <c r="M48" s="95"/>
      <c r="N48" s="98"/>
      <c r="O48" s="98"/>
      <c r="P48" s="95"/>
      <c r="Q48" s="98"/>
      <c r="R48" s="98"/>
      <c r="S48" s="94">
        <f>ROUND([2]Budget_F2_Summary!$F$358/1000+[2]Budget_F2_Summary!$F$419/1000,1)</f>
        <v>36</v>
      </c>
      <c r="T48" s="98"/>
      <c r="U48" s="98"/>
    </row>
    <row r="49" spans="1:21" ht="51" outlineLevel="2" x14ac:dyDescent="0.2">
      <c r="A49" s="108" t="s">
        <v>180</v>
      </c>
      <c r="B49" s="46" t="s">
        <v>181</v>
      </c>
      <c r="C49" s="93">
        <f>D49+F49</f>
        <v>71.099999999999994</v>
      </c>
      <c r="D49" s="94">
        <f>G49+J49+M49+P49+S49</f>
        <v>71.099999999999994</v>
      </c>
      <c r="E49" s="94">
        <f>H49+K49+N49+Q49+T49</f>
        <v>0</v>
      </c>
      <c r="F49" s="94">
        <f>I49+L49+O49+R49+U49</f>
        <v>0</v>
      </c>
      <c r="G49" s="95"/>
      <c r="H49" s="98"/>
      <c r="I49" s="98"/>
      <c r="J49" s="95"/>
      <c r="K49" s="98"/>
      <c r="L49" s="98"/>
      <c r="M49" s="95"/>
      <c r="N49" s="98"/>
      <c r="O49" s="98"/>
      <c r="P49" s="95"/>
      <c r="Q49" s="98"/>
      <c r="R49" s="98"/>
      <c r="S49" s="95">
        <f>ROUND([2]Budget_F2_Summary!$F$287/1000,1)</f>
        <v>71.099999999999994</v>
      </c>
      <c r="T49" s="98"/>
      <c r="U49" s="98"/>
    </row>
    <row r="50" spans="1:21" s="42" customFormat="1" outlineLevel="1" x14ac:dyDescent="0.2">
      <c r="A50" s="107" t="s">
        <v>20</v>
      </c>
      <c r="B50" s="43" t="s">
        <v>182</v>
      </c>
      <c r="C50" s="92">
        <f t="shared" ref="C50:U50" si="14">SUM(C51:C53)</f>
        <v>25</v>
      </c>
      <c r="D50" s="92">
        <f t="shared" si="14"/>
        <v>25</v>
      </c>
      <c r="E50" s="92">
        <f t="shared" si="14"/>
        <v>0</v>
      </c>
      <c r="F50" s="92">
        <f t="shared" si="14"/>
        <v>0</v>
      </c>
      <c r="G50" s="92">
        <f t="shared" si="14"/>
        <v>0</v>
      </c>
      <c r="H50" s="92">
        <f t="shared" si="14"/>
        <v>0</v>
      </c>
      <c r="I50" s="92">
        <f t="shared" si="14"/>
        <v>0</v>
      </c>
      <c r="J50" s="92">
        <f t="shared" si="14"/>
        <v>0</v>
      </c>
      <c r="K50" s="92">
        <f t="shared" si="14"/>
        <v>0</v>
      </c>
      <c r="L50" s="92">
        <f t="shared" si="14"/>
        <v>0</v>
      </c>
      <c r="M50" s="92">
        <f t="shared" si="14"/>
        <v>0</v>
      </c>
      <c r="N50" s="92">
        <f t="shared" si="14"/>
        <v>0</v>
      </c>
      <c r="O50" s="92">
        <f t="shared" si="14"/>
        <v>0</v>
      </c>
      <c r="P50" s="92">
        <f t="shared" si="14"/>
        <v>0</v>
      </c>
      <c r="Q50" s="92">
        <f t="shared" si="14"/>
        <v>0</v>
      </c>
      <c r="R50" s="92">
        <f t="shared" si="14"/>
        <v>0</v>
      </c>
      <c r="S50" s="92">
        <f t="shared" si="14"/>
        <v>25</v>
      </c>
      <c r="T50" s="92">
        <f t="shared" si="14"/>
        <v>0</v>
      </c>
      <c r="U50" s="92">
        <f t="shared" si="14"/>
        <v>0</v>
      </c>
    </row>
    <row r="51" spans="1:21" ht="24.75" customHeight="1" outlineLevel="2" x14ac:dyDescent="0.2">
      <c r="A51" s="108" t="s">
        <v>183</v>
      </c>
      <c r="B51" s="46" t="s">
        <v>188</v>
      </c>
      <c r="C51" s="93">
        <f>D51+F51</f>
        <v>9</v>
      </c>
      <c r="D51" s="94">
        <f t="shared" ref="D51:F53" si="15">G51+J51+M51+P51+S51</f>
        <v>9</v>
      </c>
      <c r="E51" s="94">
        <f t="shared" si="15"/>
        <v>0</v>
      </c>
      <c r="F51" s="94">
        <f t="shared" si="15"/>
        <v>0</v>
      </c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>
        <f>ROUND([2]Budget_F2_Summary!$F$413/1000,1)</f>
        <v>9</v>
      </c>
      <c r="T51" s="95"/>
      <c r="U51" s="95"/>
    </row>
    <row r="52" spans="1:21" outlineLevel="2" x14ac:dyDescent="0.2">
      <c r="A52" s="108" t="s">
        <v>185</v>
      </c>
      <c r="B52" s="47" t="s">
        <v>184</v>
      </c>
      <c r="C52" s="93">
        <f>D52+F52</f>
        <v>8</v>
      </c>
      <c r="D52" s="94">
        <f t="shared" si="15"/>
        <v>8</v>
      </c>
      <c r="E52" s="94">
        <f t="shared" si="15"/>
        <v>0</v>
      </c>
      <c r="F52" s="94">
        <f t="shared" si="15"/>
        <v>0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>
        <f>ROUND([2]Budget_F2_Summary!$F$364/1000,1)</f>
        <v>8</v>
      </c>
      <c r="T52" s="95"/>
      <c r="U52" s="95"/>
    </row>
    <row r="53" spans="1:21" ht="25.5" outlineLevel="2" x14ac:dyDescent="0.2">
      <c r="A53" s="108" t="s">
        <v>187</v>
      </c>
      <c r="B53" s="46" t="s">
        <v>186</v>
      </c>
      <c r="C53" s="93">
        <f>D53+F53</f>
        <v>8</v>
      </c>
      <c r="D53" s="94">
        <f t="shared" si="15"/>
        <v>8</v>
      </c>
      <c r="E53" s="94">
        <f t="shared" si="15"/>
        <v>0</v>
      </c>
      <c r="F53" s="94">
        <f t="shared" si="15"/>
        <v>0</v>
      </c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>
        <f>ROUND([2]Budget_F2_Summary!$F$367/1000,1)</f>
        <v>8</v>
      </c>
      <c r="T53" s="95"/>
      <c r="U53" s="95"/>
    </row>
    <row r="54" spans="1:21" s="42" customFormat="1" ht="12.95" customHeight="1" outlineLevel="1" x14ac:dyDescent="0.2">
      <c r="A54" s="107" t="s">
        <v>189</v>
      </c>
      <c r="B54" s="43" t="s">
        <v>498</v>
      </c>
      <c r="C54" s="92">
        <f t="shared" ref="C54:U54" si="16">C55</f>
        <v>230.6</v>
      </c>
      <c r="D54" s="92">
        <f t="shared" si="16"/>
        <v>230.6</v>
      </c>
      <c r="E54" s="92">
        <f t="shared" si="16"/>
        <v>9.8000000000000007</v>
      </c>
      <c r="F54" s="92">
        <f t="shared" si="16"/>
        <v>0</v>
      </c>
      <c r="G54" s="92">
        <f t="shared" si="16"/>
        <v>230.6</v>
      </c>
      <c r="H54" s="92">
        <f t="shared" si="16"/>
        <v>9.8000000000000007</v>
      </c>
      <c r="I54" s="92">
        <f t="shared" si="16"/>
        <v>0</v>
      </c>
      <c r="J54" s="92">
        <f t="shared" si="16"/>
        <v>0</v>
      </c>
      <c r="K54" s="92">
        <f t="shared" si="16"/>
        <v>0</v>
      </c>
      <c r="L54" s="92">
        <f t="shared" si="16"/>
        <v>0</v>
      </c>
      <c r="M54" s="92">
        <f t="shared" si="16"/>
        <v>0</v>
      </c>
      <c r="N54" s="92">
        <f t="shared" si="16"/>
        <v>0</v>
      </c>
      <c r="O54" s="92">
        <f t="shared" si="16"/>
        <v>0</v>
      </c>
      <c r="P54" s="92">
        <f t="shared" si="16"/>
        <v>0</v>
      </c>
      <c r="Q54" s="92">
        <f t="shared" si="16"/>
        <v>0</v>
      </c>
      <c r="R54" s="92">
        <f t="shared" si="16"/>
        <v>0</v>
      </c>
      <c r="S54" s="92">
        <f t="shared" si="16"/>
        <v>0</v>
      </c>
      <c r="T54" s="92">
        <f t="shared" si="16"/>
        <v>0</v>
      </c>
      <c r="U54" s="92">
        <f t="shared" si="16"/>
        <v>0</v>
      </c>
    </row>
    <row r="55" spans="1:21" ht="51" outlineLevel="2" x14ac:dyDescent="0.2">
      <c r="A55" s="108" t="s">
        <v>191</v>
      </c>
      <c r="B55" s="46" t="s">
        <v>192</v>
      </c>
      <c r="C55" s="93">
        <f>D55+F55</f>
        <v>230.6</v>
      </c>
      <c r="D55" s="94">
        <f>G55+J55+M55+P55+S55</f>
        <v>230.6</v>
      </c>
      <c r="E55" s="94">
        <f>H55+K55+N55+Q55+T55</f>
        <v>9.8000000000000007</v>
      </c>
      <c r="F55" s="94">
        <f>I55+L55+O55+R55+U55</f>
        <v>0</v>
      </c>
      <c r="G55" s="94">
        <f>ROUND([2]Budget_F2_Summary!$F$174/1000,1)</f>
        <v>230.6</v>
      </c>
      <c r="H55" s="94">
        <f>ROUND([2]Budget_F2_Summary!$F$170/1000,1)+ROUND('[3]2017-06-28'!$H$47/1000,1)</f>
        <v>9.8000000000000007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s="42" customFormat="1" ht="12.95" customHeight="1" outlineLevel="1" x14ac:dyDescent="0.2">
      <c r="A56" s="107" t="s">
        <v>193</v>
      </c>
      <c r="B56" s="43" t="s">
        <v>194</v>
      </c>
      <c r="C56" s="92">
        <f t="shared" ref="C56:U56" si="17">SUM(C57:C58)</f>
        <v>171.1</v>
      </c>
      <c r="D56" s="92">
        <f t="shared" si="17"/>
        <v>171.1</v>
      </c>
      <c r="E56" s="92">
        <f t="shared" si="17"/>
        <v>16</v>
      </c>
      <c r="F56" s="92">
        <f t="shared" si="17"/>
        <v>0</v>
      </c>
      <c r="G56" s="92">
        <f t="shared" si="17"/>
        <v>155.5</v>
      </c>
      <c r="H56" s="92">
        <f t="shared" si="17"/>
        <v>16</v>
      </c>
      <c r="I56" s="92">
        <f t="shared" si="17"/>
        <v>0</v>
      </c>
      <c r="J56" s="92">
        <f t="shared" si="17"/>
        <v>0</v>
      </c>
      <c r="K56" s="92">
        <f t="shared" si="17"/>
        <v>0</v>
      </c>
      <c r="L56" s="92">
        <f t="shared" si="17"/>
        <v>0</v>
      </c>
      <c r="M56" s="92">
        <f t="shared" si="17"/>
        <v>0</v>
      </c>
      <c r="N56" s="92">
        <f t="shared" si="17"/>
        <v>0</v>
      </c>
      <c r="O56" s="92">
        <f t="shared" si="17"/>
        <v>0</v>
      </c>
      <c r="P56" s="92">
        <f t="shared" si="17"/>
        <v>0</v>
      </c>
      <c r="Q56" s="92">
        <f t="shared" si="17"/>
        <v>0</v>
      </c>
      <c r="R56" s="92">
        <f t="shared" si="17"/>
        <v>0</v>
      </c>
      <c r="S56" s="92">
        <f t="shared" si="17"/>
        <v>15.6</v>
      </c>
      <c r="T56" s="92">
        <f t="shared" si="17"/>
        <v>0</v>
      </c>
      <c r="U56" s="92">
        <f t="shared" si="17"/>
        <v>0</v>
      </c>
    </row>
    <row r="57" spans="1:21" ht="25.5" outlineLevel="2" x14ac:dyDescent="0.2">
      <c r="A57" s="108" t="s">
        <v>195</v>
      </c>
      <c r="B57" s="46" t="s">
        <v>198</v>
      </c>
      <c r="C57" s="93">
        <f>D57+F57</f>
        <v>112.1</v>
      </c>
      <c r="D57" s="94">
        <f t="shared" ref="D57:F58" si="18">G57+J57+M57+P57+S57</f>
        <v>112.1</v>
      </c>
      <c r="E57" s="94">
        <f t="shared" si="18"/>
        <v>16</v>
      </c>
      <c r="F57" s="94">
        <f t="shared" si="18"/>
        <v>0</v>
      </c>
      <c r="G57" s="95">
        <f>ROUND([2]Budget_F2_Summary!$F$65/1000,1)</f>
        <v>96.5</v>
      </c>
      <c r="H57" s="95">
        <f>ROUND([2]Budget_F2_Summary!$F$55/1000,1)</f>
        <v>16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f>ROUND('[3]2017-06-28'!$S$49/1000,1)</f>
        <v>15.6</v>
      </c>
      <c r="T57" s="95"/>
      <c r="U57" s="95"/>
    </row>
    <row r="58" spans="1:21" ht="24.95" customHeight="1" outlineLevel="2" x14ac:dyDescent="0.2">
      <c r="A58" s="108" t="s">
        <v>197</v>
      </c>
      <c r="B58" s="46" t="s">
        <v>196</v>
      </c>
      <c r="C58" s="93">
        <f>D58+F58</f>
        <v>59</v>
      </c>
      <c r="D58" s="94">
        <f t="shared" si="18"/>
        <v>59</v>
      </c>
      <c r="E58" s="94">
        <f t="shared" si="18"/>
        <v>0</v>
      </c>
      <c r="F58" s="94">
        <f t="shared" si="18"/>
        <v>0</v>
      </c>
      <c r="G58" s="95">
        <f>ROUND([2]Budget_F2_Summary!$F$61/1000,1)</f>
        <v>59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1" s="42" customFormat="1" ht="25.5" outlineLevel="1" x14ac:dyDescent="0.2">
      <c r="A59" s="107" t="s">
        <v>199</v>
      </c>
      <c r="B59" s="48" t="s">
        <v>200</v>
      </c>
      <c r="C59" s="96">
        <f>SUM(C60:C67)</f>
        <v>1903.8</v>
      </c>
      <c r="D59" s="96">
        <f>SUM(D60:D67)</f>
        <v>1175.2</v>
      </c>
      <c r="E59" s="96">
        <f t="shared" ref="E59:U59" si="19">SUM(E60:E67)</f>
        <v>57</v>
      </c>
      <c r="F59" s="96">
        <f>SUM(F60:F67)</f>
        <v>728.6</v>
      </c>
      <c r="G59" s="96">
        <f t="shared" si="19"/>
        <v>407.7</v>
      </c>
      <c r="H59" s="96">
        <f t="shared" si="19"/>
        <v>0</v>
      </c>
      <c r="I59" s="96">
        <f t="shared" si="19"/>
        <v>603.6</v>
      </c>
      <c r="J59" s="96">
        <f t="shared" si="19"/>
        <v>0</v>
      </c>
      <c r="K59" s="96">
        <f t="shared" si="19"/>
        <v>0</v>
      </c>
      <c r="L59" s="96">
        <f t="shared" si="19"/>
        <v>0</v>
      </c>
      <c r="M59" s="96">
        <f t="shared" si="19"/>
        <v>0</v>
      </c>
      <c r="N59" s="96">
        <f t="shared" si="19"/>
        <v>0</v>
      </c>
      <c r="O59" s="96">
        <f t="shared" si="19"/>
        <v>0</v>
      </c>
      <c r="P59" s="96">
        <f t="shared" si="19"/>
        <v>30.3</v>
      </c>
      <c r="Q59" s="96">
        <f t="shared" si="19"/>
        <v>0</v>
      </c>
      <c r="R59" s="96">
        <f t="shared" si="19"/>
        <v>0</v>
      </c>
      <c r="S59" s="96">
        <f t="shared" si="19"/>
        <v>737.2</v>
      </c>
      <c r="T59" s="96">
        <f t="shared" si="19"/>
        <v>57</v>
      </c>
      <c r="U59" s="96">
        <f t="shared" si="19"/>
        <v>125</v>
      </c>
    </row>
    <row r="60" spans="1:21" outlineLevel="2" x14ac:dyDescent="0.2">
      <c r="A60" s="108" t="s">
        <v>201</v>
      </c>
      <c r="B60" s="46" t="s">
        <v>304</v>
      </c>
      <c r="C60" s="93">
        <f t="shared" ref="C60:C67" si="20">D60+F60</f>
        <v>10</v>
      </c>
      <c r="D60" s="94">
        <f t="shared" ref="D60:D66" si="21">G60+J60+M60+P60+S60</f>
        <v>10</v>
      </c>
      <c r="E60" s="94">
        <f t="shared" ref="E60:E67" si="22">H60+K60+N60+Q60+T60</f>
        <v>0</v>
      </c>
      <c r="F60" s="94">
        <f t="shared" ref="F60:F65" si="23">I60+L60+O60+R60+U60</f>
        <v>0</v>
      </c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>
        <f>ROUND([2]Budget_F2_Summary!$F$89/1000,1)</f>
        <v>10</v>
      </c>
      <c r="T60" s="95"/>
      <c r="U60" s="95"/>
    </row>
    <row r="61" spans="1:21" outlineLevel="2" x14ac:dyDescent="0.2">
      <c r="A61" s="108" t="s">
        <v>202</v>
      </c>
      <c r="B61" s="46" t="s">
        <v>205</v>
      </c>
      <c r="C61" s="93">
        <f t="shared" si="20"/>
        <v>62.9</v>
      </c>
      <c r="D61" s="94">
        <f t="shared" si="21"/>
        <v>0</v>
      </c>
      <c r="E61" s="94">
        <f t="shared" si="22"/>
        <v>0</v>
      </c>
      <c r="F61" s="94">
        <f t="shared" si="23"/>
        <v>62.9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>
        <f>ROUND([2]Budget_F2_Summary!$F$92/1000,1)</f>
        <v>62.9</v>
      </c>
    </row>
    <row r="62" spans="1:21" ht="24.95" customHeight="1" outlineLevel="2" x14ac:dyDescent="0.2">
      <c r="A62" s="108" t="s">
        <v>204</v>
      </c>
      <c r="B62" s="46" t="s">
        <v>211</v>
      </c>
      <c r="C62" s="93">
        <f t="shared" si="20"/>
        <v>12.3</v>
      </c>
      <c r="D62" s="94">
        <f t="shared" si="21"/>
        <v>12.3</v>
      </c>
      <c r="E62" s="94">
        <f t="shared" si="22"/>
        <v>0</v>
      </c>
      <c r="F62" s="94">
        <f t="shared" si="23"/>
        <v>0</v>
      </c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>
        <f>ROUND([2]Budget_F2_Summary!$F$474/1000,1)+ROUND('[3]2017-06-28'!$S$54/1000,1)</f>
        <v>12.3</v>
      </c>
      <c r="T62" s="95"/>
      <c r="U62" s="95"/>
    </row>
    <row r="63" spans="1:21" outlineLevel="2" x14ac:dyDescent="0.2">
      <c r="A63" s="108" t="s">
        <v>206</v>
      </c>
      <c r="B63" s="46" t="s">
        <v>213</v>
      </c>
      <c r="C63" s="93">
        <f t="shared" si="20"/>
        <v>48.400000000000006</v>
      </c>
      <c r="D63" s="94">
        <f t="shared" si="21"/>
        <v>30.3</v>
      </c>
      <c r="E63" s="94">
        <f t="shared" si="22"/>
        <v>0</v>
      </c>
      <c r="F63" s="94">
        <f t="shared" si="23"/>
        <v>18.100000000000001</v>
      </c>
      <c r="G63" s="95"/>
      <c r="H63" s="95"/>
      <c r="I63" s="95"/>
      <c r="J63" s="95"/>
      <c r="K63" s="95"/>
      <c r="L63" s="95"/>
      <c r="M63" s="95"/>
      <c r="N63" s="95"/>
      <c r="O63" s="95"/>
      <c r="P63" s="95">
        <f>ROUND([2]Budget_F2_Summary!$F$225/1000+[2]Budget_F2_Summary!$F$325/1000,1)+' 2016 m. nepanaudotos pajamos'!G20</f>
        <v>30.3</v>
      </c>
      <c r="Q63" s="95"/>
      <c r="R63" s="95"/>
      <c r="S63" s="95"/>
      <c r="T63" s="95"/>
      <c r="U63" s="94">
        <f>' 2016 m. nepanaudotos pajamos'!L20</f>
        <v>18.100000000000001</v>
      </c>
    </row>
    <row r="64" spans="1:21" outlineLevel="2" x14ac:dyDescent="0.2">
      <c r="A64" s="108" t="s">
        <v>208</v>
      </c>
      <c r="B64" s="46" t="s">
        <v>207</v>
      </c>
      <c r="C64" s="93">
        <f t="shared" si="20"/>
        <v>615.20000000000005</v>
      </c>
      <c r="D64" s="94">
        <f t="shared" si="21"/>
        <v>615.20000000000005</v>
      </c>
      <c r="E64" s="94">
        <f t="shared" si="22"/>
        <v>0</v>
      </c>
      <c r="F64" s="94">
        <f t="shared" si="23"/>
        <v>0</v>
      </c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>
        <f>ROUND([2]Budget_F2_Summary!$F$88/1000,1)+' 2016 m. nepanaudotos pajamos'!J21</f>
        <v>615.20000000000005</v>
      </c>
      <c r="T64" s="95"/>
      <c r="U64" s="95"/>
    </row>
    <row r="65" spans="1:21" ht="25.5" outlineLevel="2" x14ac:dyDescent="0.2">
      <c r="A65" s="108" t="s">
        <v>210</v>
      </c>
      <c r="B65" s="46" t="s">
        <v>203</v>
      </c>
      <c r="C65" s="93">
        <f t="shared" si="20"/>
        <v>2</v>
      </c>
      <c r="D65" s="94">
        <f t="shared" si="21"/>
        <v>2</v>
      </c>
      <c r="E65" s="94">
        <f t="shared" si="22"/>
        <v>0</v>
      </c>
      <c r="F65" s="94">
        <f t="shared" si="23"/>
        <v>0</v>
      </c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>
        <f>ROUND([2]Budget_F2_Summary!$F$361/1000,1)</f>
        <v>2</v>
      </c>
      <c r="T65" s="95"/>
      <c r="U65" s="95"/>
    </row>
    <row r="66" spans="1:21" outlineLevel="2" x14ac:dyDescent="0.2">
      <c r="A66" s="108" t="s">
        <v>212</v>
      </c>
      <c r="B66" s="46" t="s">
        <v>209</v>
      </c>
      <c r="C66" s="93">
        <f t="shared" si="20"/>
        <v>141.69999999999999</v>
      </c>
      <c r="D66" s="94">
        <f t="shared" si="21"/>
        <v>97.7</v>
      </c>
      <c r="E66" s="94">
        <f t="shared" si="22"/>
        <v>57</v>
      </c>
      <c r="F66" s="94">
        <f>I66+L66+O66+R66+U66</f>
        <v>44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>
        <f>ROUND([2]Budget_F2_Summary!$F$79/1000,1)</f>
        <v>97.7</v>
      </c>
      <c r="T66" s="95">
        <f>ROUND([2]Budget_F2_Summary!$F$80/1000,1)</f>
        <v>57</v>
      </c>
      <c r="U66" s="95">
        <f>ROUND([2]Budget_F2_Summary!$F$83/1000,1)</f>
        <v>44</v>
      </c>
    </row>
    <row r="67" spans="1:21" ht="25.5" outlineLevel="2" x14ac:dyDescent="0.2">
      <c r="A67" s="108" t="s">
        <v>575</v>
      </c>
      <c r="B67" s="46" t="s">
        <v>576</v>
      </c>
      <c r="C67" s="93">
        <f t="shared" si="20"/>
        <v>1011.3</v>
      </c>
      <c r="D67" s="93">
        <f>E67+G67</f>
        <v>407.7</v>
      </c>
      <c r="E67" s="94">
        <f t="shared" si="22"/>
        <v>0</v>
      </c>
      <c r="F67" s="94">
        <f>I67+L67+O67+R67+U67</f>
        <v>603.6</v>
      </c>
      <c r="G67" s="95">
        <f>ROUND('[3]2017-04-28'!$G$59/1000,1)+ROUND('[3]2017-06-28'!$G$59/1000,1)</f>
        <v>407.7</v>
      </c>
      <c r="H67" s="95"/>
      <c r="I67" s="95">
        <f>ROUND('[3]2017-04-28'!$I$59/1000,1)+ROUND('[3]2017-06-28'!$I$59/1000,1)</f>
        <v>603.6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</row>
    <row r="68" spans="1:21" s="42" customFormat="1" ht="12.95" customHeight="1" outlineLevel="1" x14ac:dyDescent="0.2">
      <c r="A68" s="107" t="s">
        <v>214</v>
      </c>
      <c r="B68" s="43" t="s">
        <v>215</v>
      </c>
      <c r="C68" s="96">
        <f>SUM(C69:C70)</f>
        <v>107.7</v>
      </c>
      <c r="D68" s="96">
        <f>SUM(D69:D70)</f>
        <v>103.7</v>
      </c>
      <c r="E68" s="96">
        <f>SUM(E69:E70)</f>
        <v>0</v>
      </c>
      <c r="F68" s="96">
        <f>SUM(F69:F70)</f>
        <v>4</v>
      </c>
      <c r="G68" s="96">
        <f t="shared" ref="G68:U68" si="24">SUM(G69:G70)</f>
        <v>0</v>
      </c>
      <c r="H68" s="96">
        <f t="shared" si="24"/>
        <v>0</v>
      </c>
      <c r="I68" s="96">
        <f t="shared" si="24"/>
        <v>0</v>
      </c>
      <c r="J68" s="96">
        <f t="shared" si="24"/>
        <v>0</v>
      </c>
      <c r="K68" s="96">
        <f t="shared" si="24"/>
        <v>0</v>
      </c>
      <c r="L68" s="96">
        <f t="shared" si="24"/>
        <v>0</v>
      </c>
      <c r="M68" s="96">
        <f t="shared" si="24"/>
        <v>0</v>
      </c>
      <c r="N68" s="96">
        <f t="shared" si="24"/>
        <v>0</v>
      </c>
      <c r="O68" s="96">
        <f t="shared" si="24"/>
        <v>0</v>
      </c>
      <c r="P68" s="96">
        <f>SUM(P69:P70)</f>
        <v>71.2</v>
      </c>
      <c r="Q68" s="96">
        <f t="shared" si="24"/>
        <v>0</v>
      </c>
      <c r="R68" s="96">
        <f t="shared" si="24"/>
        <v>0</v>
      </c>
      <c r="S68" s="96">
        <f t="shared" si="24"/>
        <v>32.5</v>
      </c>
      <c r="T68" s="96">
        <f t="shared" si="24"/>
        <v>0</v>
      </c>
      <c r="U68" s="96">
        <f t="shared" si="24"/>
        <v>4</v>
      </c>
    </row>
    <row r="69" spans="1:21" s="42" customFormat="1" ht="25.5" outlineLevel="2" x14ac:dyDescent="0.2">
      <c r="A69" s="108" t="s">
        <v>216</v>
      </c>
      <c r="B69" s="46" t="s">
        <v>219</v>
      </c>
      <c r="C69" s="93">
        <f>D69+F69</f>
        <v>36.5</v>
      </c>
      <c r="D69" s="94">
        <f t="shared" ref="D69:F70" si="25">G69+J69+M69+P69+S69</f>
        <v>32.5</v>
      </c>
      <c r="E69" s="94">
        <f t="shared" si="25"/>
        <v>0</v>
      </c>
      <c r="F69" s="94">
        <f t="shared" si="25"/>
        <v>4</v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>
        <f>ROUND([2]Budget_F2_Summary!$F$407/1000,1)+' 2016 m. nepanaudotos pajamos'!J23</f>
        <v>32.5</v>
      </c>
      <c r="T69" s="95"/>
      <c r="U69" s="95">
        <f>ROUND([2]Budget_F2_Summary!$F$410/1000,1)</f>
        <v>4</v>
      </c>
    </row>
    <row r="70" spans="1:21" outlineLevel="2" x14ac:dyDescent="0.2">
      <c r="A70" s="108" t="s">
        <v>218</v>
      </c>
      <c r="B70" s="46" t="s">
        <v>217</v>
      </c>
      <c r="C70" s="93">
        <f>D70+F70</f>
        <v>71.2</v>
      </c>
      <c r="D70" s="94">
        <f>G70+J70+M70+P70+S70</f>
        <v>71.2</v>
      </c>
      <c r="E70" s="94">
        <f t="shared" si="25"/>
        <v>0</v>
      </c>
      <c r="F70" s="94">
        <f t="shared" si="25"/>
        <v>0</v>
      </c>
      <c r="G70" s="92"/>
      <c r="H70" s="92"/>
      <c r="I70" s="92"/>
      <c r="J70" s="92"/>
      <c r="K70" s="92"/>
      <c r="L70" s="92"/>
      <c r="M70" s="92"/>
      <c r="N70" s="92"/>
      <c r="O70" s="92"/>
      <c r="P70" s="93">
        <f>ROUND([2]Budget_F2_Summary!$F$431/1000+[2]Budget_F2_Summary!$F$434/1000+[2]Budget_F2_Summary!$F$437/1000,1)+' 2016 m. nepanaudotos pajamos'!G24</f>
        <v>71.2</v>
      </c>
      <c r="Q70" s="92"/>
      <c r="R70" s="92"/>
      <c r="S70" s="92"/>
      <c r="T70" s="92"/>
      <c r="U70" s="92"/>
    </row>
    <row r="71" spans="1:21" s="42" customFormat="1" ht="12.95" customHeight="1" outlineLevel="1" x14ac:dyDescent="0.2">
      <c r="A71" s="107" t="s">
        <v>220</v>
      </c>
      <c r="B71" s="43" t="s">
        <v>221</v>
      </c>
      <c r="C71" s="96">
        <f t="shared" ref="C71:U71" si="26">SUM(C72:C73)</f>
        <v>764.59999999999991</v>
      </c>
      <c r="D71" s="96">
        <f t="shared" si="26"/>
        <v>173.3</v>
      </c>
      <c r="E71" s="96">
        <f t="shared" si="26"/>
        <v>0</v>
      </c>
      <c r="F71" s="96">
        <f t="shared" si="26"/>
        <v>591.29999999999995</v>
      </c>
      <c r="G71" s="96">
        <f t="shared" si="26"/>
        <v>0</v>
      </c>
      <c r="H71" s="96">
        <f t="shared" si="26"/>
        <v>0</v>
      </c>
      <c r="I71" s="96">
        <f t="shared" si="26"/>
        <v>0</v>
      </c>
      <c r="J71" s="96">
        <f t="shared" si="26"/>
        <v>5</v>
      </c>
      <c r="K71" s="96">
        <f t="shared" si="26"/>
        <v>0</v>
      </c>
      <c r="L71" s="96">
        <f t="shared" si="26"/>
        <v>155</v>
      </c>
      <c r="M71" s="96">
        <f t="shared" si="26"/>
        <v>0</v>
      </c>
      <c r="N71" s="96">
        <f t="shared" si="26"/>
        <v>0</v>
      </c>
      <c r="O71" s="96">
        <f t="shared" si="26"/>
        <v>0</v>
      </c>
      <c r="P71" s="96">
        <f t="shared" si="26"/>
        <v>0</v>
      </c>
      <c r="Q71" s="96">
        <f t="shared" si="26"/>
        <v>0</v>
      </c>
      <c r="R71" s="96">
        <f t="shared" si="26"/>
        <v>0</v>
      </c>
      <c r="S71" s="96">
        <f t="shared" si="26"/>
        <v>168.3</v>
      </c>
      <c r="T71" s="96">
        <f t="shared" si="26"/>
        <v>0</v>
      </c>
      <c r="U71" s="96">
        <f t="shared" si="26"/>
        <v>436.29999999999995</v>
      </c>
    </row>
    <row r="72" spans="1:21" ht="13.9" customHeight="1" outlineLevel="2" x14ac:dyDescent="0.2">
      <c r="A72" s="108" t="s">
        <v>222</v>
      </c>
      <c r="B72" s="46" t="s">
        <v>223</v>
      </c>
      <c r="C72" s="93">
        <f>D72+F72</f>
        <v>694.59999999999991</v>
      </c>
      <c r="D72" s="94">
        <f t="shared" ref="D72:F73" si="27">G72+J72+M72+P72+S72</f>
        <v>103.3</v>
      </c>
      <c r="E72" s="94">
        <f t="shared" si="27"/>
        <v>0</v>
      </c>
      <c r="F72" s="94">
        <f t="shared" si="27"/>
        <v>591.29999999999995</v>
      </c>
      <c r="G72" s="95"/>
      <c r="H72" s="95"/>
      <c r="I72" s="95"/>
      <c r="J72" s="95">
        <f>ROUND('[3]2017-04-28'!$J$64/1000,1)</f>
        <v>5</v>
      </c>
      <c r="K72" s="95"/>
      <c r="L72" s="95">
        <f>ROUND('[3]2017-04-28'!$L$64/1000,1)</f>
        <v>155</v>
      </c>
      <c r="M72" s="95"/>
      <c r="N72" s="95"/>
      <c r="O72" s="95"/>
      <c r="P72" s="95"/>
      <c r="Q72" s="95"/>
      <c r="R72" s="95"/>
      <c r="S72" s="95">
        <f>ROUND([2]Budget_F2_Summary!$F$242/1000,1)+' 2016 m. nepanaudotos pajamos'!J26</f>
        <v>98.3</v>
      </c>
      <c r="T72" s="95"/>
      <c r="U72" s="95">
        <f>ROUND([2]Budget_F2_Summary!$F$243/1000,1)+' 2016 m. nepanaudotos pajamos'!L26+ROUND('[3]2017-06-28'!$U$64/1000,1)</f>
        <v>436.29999999999995</v>
      </c>
    </row>
    <row r="73" spans="1:21" outlineLevel="2" x14ac:dyDescent="0.2">
      <c r="A73" s="108" t="s">
        <v>224</v>
      </c>
      <c r="B73" s="46" t="s">
        <v>225</v>
      </c>
      <c r="C73" s="93">
        <f>D73+F73</f>
        <v>70</v>
      </c>
      <c r="D73" s="94">
        <f t="shared" si="27"/>
        <v>70</v>
      </c>
      <c r="E73" s="94">
        <f t="shared" si="27"/>
        <v>0</v>
      </c>
      <c r="F73" s="94">
        <f t="shared" si="27"/>
        <v>0</v>
      </c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>
        <f>ROUND([2]Budget_F2_Summary!$F$240/1000,1)+' 2016 m. nepanaudotos pajamos'!J27</f>
        <v>70</v>
      </c>
      <c r="T73" s="95"/>
      <c r="U73" s="95">
        <f>' 2016 m. nepanaudotos pajamos'!L27</f>
        <v>0</v>
      </c>
    </row>
    <row r="74" spans="1:21" s="42" customFormat="1" ht="12.95" customHeight="1" outlineLevel="1" x14ac:dyDescent="0.2">
      <c r="A74" s="107" t="s">
        <v>226</v>
      </c>
      <c r="B74" s="43" t="s">
        <v>227</v>
      </c>
      <c r="C74" s="96">
        <f>SUM(C75:C77)</f>
        <v>30.3</v>
      </c>
      <c r="D74" s="96">
        <f t="shared" ref="D74:U74" si="28">SUM(D75:D77)</f>
        <v>5.5</v>
      </c>
      <c r="E74" s="96">
        <f t="shared" si="28"/>
        <v>0</v>
      </c>
      <c r="F74" s="96">
        <f t="shared" si="28"/>
        <v>24.8</v>
      </c>
      <c r="G74" s="96">
        <f t="shared" si="28"/>
        <v>0.3</v>
      </c>
      <c r="H74" s="96">
        <f t="shared" si="28"/>
        <v>0</v>
      </c>
      <c r="I74" s="96">
        <f t="shared" si="28"/>
        <v>0</v>
      </c>
      <c r="J74" s="96">
        <f t="shared" si="28"/>
        <v>0</v>
      </c>
      <c r="K74" s="96">
        <f t="shared" si="28"/>
        <v>0</v>
      </c>
      <c r="L74" s="96">
        <f t="shared" si="28"/>
        <v>0</v>
      </c>
      <c r="M74" s="96">
        <f t="shared" si="28"/>
        <v>0</v>
      </c>
      <c r="N74" s="96">
        <f t="shared" si="28"/>
        <v>0</v>
      </c>
      <c r="O74" s="96">
        <f t="shared" si="28"/>
        <v>0</v>
      </c>
      <c r="P74" s="96">
        <f t="shared" si="28"/>
        <v>0</v>
      </c>
      <c r="Q74" s="96">
        <f t="shared" si="28"/>
        <v>0</v>
      </c>
      <c r="R74" s="96">
        <f t="shared" si="28"/>
        <v>0</v>
      </c>
      <c r="S74" s="96">
        <f t="shared" si="28"/>
        <v>5.2</v>
      </c>
      <c r="T74" s="96">
        <f t="shared" si="28"/>
        <v>0</v>
      </c>
      <c r="U74" s="96">
        <f t="shared" si="28"/>
        <v>24.8</v>
      </c>
    </row>
    <row r="75" spans="1:21" outlineLevel="2" x14ac:dyDescent="0.2">
      <c r="A75" s="108" t="s">
        <v>228</v>
      </c>
      <c r="B75" s="46" t="s">
        <v>231</v>
      </c>
      <c r="C75" s="93">
        <f>D75+F75</f>
        <v>2</v>
      </c>
      <c r="D75" s="94">
        <f t="shared" ref="D75:F77" si="29">G75+J75+M75+P75+S75</f>
        <v>2</v>
      </c>
      <c r="E75" s="94">
        <f t="shared" si="29"/>
        <v>0</v>
      </c>
      <c r="F75" s="94">
        <f t="shared" si="29"/>
        <v>0</v>
      </c>
      <c r="G75" s="95">
        <f>ROUND([2]Budget_F2_Summary!$F$177/1000,1)</f>
        <v>0.3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>
        <f>ROUND([2]Budget_F2_Summary!$F$180/1000,1)</f>
        <v>1.7</v>
      </c>
      <c r="T75" s="95"/>
      <c r="U75" s="95"/>
    </row>
    <row r="76" spans="1:21" ht="25.5" outlineLevel="2" x14ac:dyDescent="0.2">
      <c r="A76" s="108" t="s">
        <v>230</v>
      </c>
      <c r="B76" s="46" t="s">
        <v>229</v>
      </c>
      <c r="C76" s="93">
        <f>D76+F76</f>
        <v>3.5</v>
      </c>
      <c r="D76" s="94">
        <f t="shared" si="29"/>
        <v>3.5</v>
      </c>
      <c r="E76" s="94">
        <f t="shared" ref="E76:E77" si="30">H76+K76+N76+Q76+T76</f>
        <v>0</v>
      </c>
      <c r="F76" s="94">
        <f t="shared" ref="F76:F77" si="31">I76+L76+O76+R76+U76</f>
        <v>0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4">
        <f>ROUND([2]Budget_F2_Summary!$F$377/1000,1)</f>
        <v>3.5</v>
      </c>
      <c r="T76" s="95"/>
      <c r="U76" s="95"/>
    </row>
    <row r="77" spans="1:21" ht="25.5" outlineLevel="2" x14ac:dyDescent="0.2">
      <c r="A77" s="108" t="s">
        <v>570</v>
      </c>
      <c r="B77" s="46" t="s">
        <v>571</v>
      </c>
      <c r="C77" s="93">
        <f>D77+F77</f>
        <v>24.8</v>
      </c>
      <c r="D77" s="94">
        <f t="shared" si="29"/>
        <v>0</v>
      </c>
      <c r="E77" s="94">
        <f t="shared" si="30"/>
        <v>0</v>
      </c>
      <c r="F77" s="94">
        <f t="shared" si="31"/>
        <v>24.8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4"/>
      <c r="T77" s="95"/>
      <c r="U77" s="95">
        <f>ROUND([2]Budget_F2_Summary!$F$470/1000,1)</f>
        <v>24.8</v>
      </c>
    </row>
    <row r="78" spans="1:21" s="42" customFormat="1" ht="12.95" customHeight="1" outlineLevel="1" x14ac:dyDescent="0.2">
      <c r="A78" s="107" t="s">
        <v>232</v>
      </c>
      <c r="B78" s="43" t="s">
        <v>233</v>
      </c>
      <c r="C78" s="92">
        <f>SUM(C79:C82)</f>
        <v>59.5</v>
      </c>
      <c r="D78" s="92">
        <f>SUM(D79:D82)</f>
        <v>59.5</v>
      </c>
      <c r="E78" s="92">
        <f t="shared" ref="E78:U78" si="32">SUM(E79:E82)</f>
        <v>0</v>
      </c>
      <c r="F78" s="92">
        <f t="shared" si="32"/>
        <v>0</v>
      </c>
      <c r="G78" s="92">
        <f t="shared" si="32"/>
        <v>0</v>
      </c>
      <c r="H78" s="92">
        <f t="shared" si="32"/>
        <v>0</v>
      </c>
      <c r="I78" s="92">
        <f t="shared" si="32"/>
        <v>0</v>
      </c>
      <c r="J78" s="92">
        <f t="shared" si="32"/>
        <v>0</v>
      </c>
      <c r="K78" s="92">
        <f t="shared" si="32"/>
        <v>0</v>
      </c>
      <c r="L78" s="92">
        <f t="shared" si="32"/>
        <v>0</v>
      </c>
      <c r="M78" s="92">
        <f t="shared" si="32"/>
        <v>0</v>
      </c>
      <c r="N78" s="92">
        <f t="shared" si="32"/>
        <v>0</v>
      </c>
      <c r="O78" s="92">
        <f t="shared" si="32"/>
        <v>0</v>
      </c>
      <c r="P78" s="92">
        <f t="shared" si="32"/>
        <v>0</v>
      </c>
      <c r="Q78" s="92">
        <f t="shared" si="32"/>
        <v>0</v>
      </c>
      <c r="R78" s="92">
        <f t="shared" si="32"/>
        <v>0</v>
      </c>
      <c r="S78" s="92">
        <f t="shared" si="32"/>
        <v>59.5</v>
      </c>
      <c r="T78" s="92">
        <f t="shared" si="32"/>
        <v>0</v>
      </c>
      <c r="U78" s="92">
        <f t="shared" si="32"/>
        <v>0</v>
      </c>
    </row>
    <row r="79" spans="1:21" ht="25.5" outlineLevel="2" x14ac:dyDescent="0.2">
      <c r="A79" s="108" t="s">
        <v>234</v>
      </c>
      <c r="B79" s="46" t="s">
        <v>237</v>
      </c>
      <c r="C79" s="93">
        <f>D79+F79</f>
        <v>5</v>
      </c>
      <c r="D79" s="94">
        <f t="shared" ref="D79:F82" si="33">G79+J79+M79+P79+S79</f>
        <v>5</v>
      </c>
      <c r="E79" s="94">
        <f t="shared" si="33"/>
        <v>0</v>
      </c>
      <c r="F79" s="94">
        <f t="shared" si="33"/>
        <v>0</v>
      </c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>
        <f>ROUND([2]Budget_F2_Summary!$F$380/1000,1)</f>
        <v>5</v>
      </c>
      <c r="T79" s="95"/>
      <c r="U79" s="95"/>
    </row>
    <row r="80" spans="1:21" outlineLevel="2" x14ac:dyDescent="0.2">
      <c r="A80" s="108" t="s">
        <v>236</v>
      </c>
      <c r="B80" s="46" t="s">
        <v>239</v>
      </c>
      <c r="C80" s="93">
        <f>D80+F80</f>
        <v>3</v>
      </c>
      <c r="D80" s="94">
        <f t="shared" si="33"/>
        <v>3</v>
      </c>
      <c r="E80" s="94">
        <f t="shared" si="33"/>
        <v>0</v>
      </c>
      <c r="F80" s="94">
        <f t="shared" si="33"/>
        <v>0</v>
      </c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>
        <f>ROUND([2]Budget_F2_Summary!$F$383/1000,1)</f>
        <v>3</v>
      </c>
      <c r="T80" s="95"/>
      <c r="U80" s="95"/>
    </row>
    <row r="81" spans="1:21" ht="12.75" customHeight="1" outlineLevel="2" x14ac:dyDescent="0.2">
      <c r="A81" s="108" t="s">
        <v>238</v>
      </c>
      <c r="B81" s="46" t="s">
        <v>235</v>
      </c>
      <c r="C81" s="93">
        <f>D81+F81</f>
        <v>36.5</v>
      </c>
      <c r="D81" s="94">
        <f t="shared" si="33"/>
        <v>36.5</v>
      </c>
      <c r="E81" s="94">
        <f t="shared" si="33"/>
        <v>0</v>
      </c>
      <c r="F81" s="94">
        <f t="shared" si="33"/>
        <v>0</v>
      </c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>
        <f>ROUND([2]Budget_F2_Summary!$F$374/1000,1)+ROUND('[3]2017-06-28'!$S$73/1000,1)</f>
        <v>36.5</v>
      </c>
      <c r="T81" s="95"/>
      <c r="U81" s="95"/>
    </row>
    <row r="82" spans="1:21" ht="25.5" outlineLevel="2" x14ac:dyDescent="0.2">
      <c r="A82" s="108" t="s">
        <v>542</v>
      </c>
      <c r="B82" s="46" t="s">
        <v>543</v>
      </c>
      <c r="C82" s="93">
        <f>D82+F82</f>
        <v>15</v>
      </c>
      <c r="D82" s="94">
        <f t="shared" si="33"/>
        <v>15</v>
      </c>
      <c r="E82" s="94"/>
      <c r="F82" s="94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>
        <f>ROUND([2]Budget_F2_Summary!$F$528/1000,1)</f>
        <v>15</v>
      </c>
      <c r="T82" s="95"/>
      <c r="U82" s="95"/>
    </row>
    <row r="83" spans="1:21" s="42" customFormat="1" ht="12.95" customHeight="1" outlineLevel="1" x14ac:dyDescent="0.2">
      <c r="A83" s="107" t="s">
        <v>240</v>
      </c>
      <c r="B83" s="43" t="s">
        <v>241</v>
      </c>
      <c r="C83" s="92">
        <f>SUM(C84+C85+C86+C88+C89+C90)</f>
        <v>1300.9000000000001</v>
      </c>
      <c r="D83" s="92">
        <f t="shared" ref="D83:U83" si="34">SUM(D84+D85+D86+D88+D89+D90)</f>
        <v>927.6</v>
      </c>
      <c r="E83" s="92">
        <f t="shared" si="34"/>
        <v>0</v>
      </c>
      <c r="F83" s="92">
        <f t="shared" si="34"/>
        <v>373.3</v>
      </c>
      <c r="G83" s="92">
        <f t="shared" si="34"/>
        <v>0</v>
      </c>
      <c r="H83" s="92">
        <f t="shared" si="34"/>
        <v>0</v>
      </c>
      <c r="I83" s="92">
        <f t="shared" si="34"/>
        <v>315</v>
      </c>
      <c r="J83" s="92">
        <f t="shared" si="34"/>
        <v>0</v>
      </c>
      <c r="K83" s="92">
        <f t="shared" si="34"/>
        <v>0</v>
      </c>
      <c r="L83" s="92">
        <f t="shared" si="34"/>
        <v>0</v>
      </c>
      <c r="M83" s="92">
        <f t="shared" si="34"/>
        <v>0</v>
      </c>
      <c r="N83" s="92">
        <f t="shared" si="34"/>
        <v>0</v>
      </c>
      <c r="O83" s="92">
        <f t="shared" si="34"/>
        <v>0</v>
      </c>
      <c r="P83" s="92">
        <f t="shared" si="34"/>
        <v>0</v>
      </c>
      <c r="Q83" s="92">
        <f t="shared" si="34"/>
        <v>0</v>
      </c>
      <c r="R83" s="92">
        <f t="shared" si="34"/>
        <v>0</v>
      </c>
      <c r="S83" s="92">
        <f t="shared" si="34"/>
        <v>927.6</v>
      </c>
      <c r="T83" s="92">
        <f t="shared" si="34"/>
        <v>0</v>
      </c>
      <c r="U83" s="92">
        <f t="shared" si="34"/>
        <v>58.3</v>
      </c>
    </row>
    <row r="84" spans="1:21" ht="25.5" outlineLevel="2" x14ac:dyDescent="0.2">
      <c r="A84" s="108" t="s">
        <v>242</v>
      </c>
      <c r="B84" s="46" t="s">
        <v>247</v>
      </c>
      <c r="C84" s="93">
        <f t="shared" ref="C84:C90" si="35">D84+F84</f>
        <v>5</v>
      </c>
      <c r="D84" s="94">
        <f t="shared" ref="D84:F90" si="36">G84+J84+M84+P84+S84</f>
        <v>5</v>
      </c>
      <c r="E84" s="94">
        <f t="shared" si="36"/>
        <v>0</v>
      </c>
      <c r="F84" s="94">
        <f t="shared" si="36"/>
        <v>0</v>
      </c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>
        <f>ROUND([2]Budget_F2_Summary!$F$386/1000,1)</f>
        <v>5</v>
      </c>
      <c r="T84" s="95"/>
      <c r="U84" s="95"/>
    </row>
    <row r="85" spans="1:21" ht="24.95" customHeight="1" outlineLevel="2" x14ac:dyDescent="0.2">
      <c r="A85" s="108" t="s">
        <v>244</v>
      </c>
      <c r="B85" s="46" t="s">
        <v>249</v>
      </c>
      <c r="C85" s="93">
        <f t="shared" si="35"/>
        <v>20</v>
      </c>
      <c r="D85" s="94">
        <f t="shared" si="36"/>
        <v>20</v>
      </c>
      <c r="E85" s="94">
        <f t="shared" si="36"/>
        <v>0</v>
      </c>
      <c r="F85" s="94">
        <f t="shared" si="36"/>
        <v>0</v>
      </c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>
        <f>ROUND([2]Budget_F2_Summary!$F$389/1000,1)</f>
        <v>20</v>
      </c>
      <c r="T85" s="95"/>
      <c r="U85" s="95"/>
    </row>
    <row r="86" spans="1:21" ht="25.5" outlineLevel="2" x14ac:dyDescent="0.2">
      <c r="A86" s="108" t="s">
        <v>246</v>
      </c>
      <c r="B86" s="46" t="s">
        <v>593</v>
      </c>
      <c r="C86" s="93">
        <f t="shared" si="35"/>
        <v>20</v>
      </c>
      <c r="D86" s="94">
        <f t="shared" si="36"/>
        <v>20</v>
      </c>
      <c r="E86" s="94">
        <f t="shared" si="36"/>
        <v>0</v>
      </c>
      <c r="F86" s="94">
        <f t="shared" si="36"/>
        <v>0</v>
      </c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>
        <f>ROUND([2]Budget_F2_Summary!$F$416/1000,1)</f>
        <v>20</v>
      </c>
      <c r="T86" s="95"/>
      <c r="U86" s="95"/>
    </row>
    <row r="87" spans="1:21" s="173" customFormat="1" ht="25.5" outlineLevel="3" x14ac:dyDescent="0.2">
      <c r="A87" s="168" t="s">
        <v>592</v>
      </c>
      <c r="B87" s="169" t="s">
        <v>621</v>
      </c>
      <c r="C87" s="170">
        <f t="shared" ref="C87" si="37">D87+F87</f>
        <v>12</v>
      </c>
      <c r="D87" s="171">
        <f t="shared" ref="D87" si="38">G87+J87+M87+P87+S87</f>
        <v>12</v>
      </c>
      <c r="E87" s="171">
        <f t="shared" ref="E87" si="39">H87+K87+N87+Q87+T87</f>
        <v>0</v>
      </c>
      <c r="F87" s="171">
        <f t="shared" ref="F87" si="40">I87+L87+O87+R87+U87</f>
        <v>0</v>
      </c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>
        <f>ROUND('[3]2017-06-28'!$S$79/1000,1)</f>
        <v>12</v>
      </c>
      <c r="T87" s="172"/>
      <c r="U87" s="172"/>
    </row>
    <row r="88" spans="1:21" ht="24.95" customHeight="1" outlineLevel="2" x14ac:dyDescent="0.2">
      <c r="A88" s="108" t="s">
        <v>248</v>
      </c>
      <c r="B88" s="46" t="s">
        <v>243</v>
      </c>
      <c r="C88" s="93">
        <f t="shared" si="35"/>
        <v>569.70000000000005</v>
      </c>
      <c r="D88" s="94">
        <f t="shared" si="36"/>
        <v>569.70000000000005</v>
      </c>
      <c r="E88" s="94">
        <f t="shared" si="36"/>
        <v>0</v>
      </c>
      <c r="F88" s="94">
        <f t="shared" si="36"/>
        <v>0</v>
      </c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>
        <f>ROUND([2]Budget_F2_Summary!$F$465/1000+'[3]2017-05-18'!$S$79/1000,1)+ROUND('[3]2017-06-28'!$S$80/1000,1)</f>
        <v>569.70000000000005</v>
      </c>
      <c r="T88" s="95"/>
      <c r="U88" s="95"/>
    </row>
    <row r="89" spans="1:21" ht="25.5" outlineLevel="2" x14ac:dyDescent="0.2">
      <c r="A89" s="108" t="s">
        <v>250</v>
      </c>
      <c r="B89" s="49" t="s">
        <v>252</v>
      </c>
      <c r="C89" s="93">
        <f t="shared" si="35"/>
        <v>312.89999999999998</v>
      </c>
      <c r="D89" s="94">
        <f t="shared" si="36"/>
        <v>312.89999999999998</v>
      </c>
      <c r="E89" s="94">
        <f t="shared" si="36"/>
        <v>0</v>
      </c>
      <c r="F89" s="94">
        <f t="shared" si="36"/>
        <v>0</v>
      </c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>
        <f>ROUND([2]Budget_F2_Summary!$F$270/1000,1)</f>
        <v>312.89999999999998</v>
      </c>
      <c r="T89" s="95"/>
      <c r="U89" s="95"/>
    </row>
    <row r="90" spans="1:21" ht="24.95" customHeight="1" outlineLevel="2" x14ac:dyDescent="0.2">
      <c r="A90" s="108" t="s">
        <v>251</v>
      </c>
      <c r="B90" s="46" t="s">
        <v>245</v>
      </c>
      <c r="C90" s="93">
        <f t="shared" si="35"/>
        <v>373.3</v>
      </c>
      <c r="D90" s="94">
        <f t="shared" si="36"/>
        <v>0</v>
      </c>
      <c r="E90" s="94">
        <f t="shared" si="36"/>
        <v>0</v>
      </c>
      <c r="F90" s="94">
        <f t="shared" si="36"/>
        <v>373.3</v>
      </c>
      <c r="G90" s="95"/>
      <c r="H90" s="95"/>
      <c r="I90" s="95">
        <f>ROUND([2]Budget_F2_Summary!$F$342/1000,1)</f>
        <v>315</v>
      </c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>
        <f>ROUND([2]Budget_F2_Summary!$F$466/1000,1)+ROUND('[3]2017-06-28'!$U$82/1000,1)</f>
        <v>58.3</v>
      </c>
    </row>
    <row r="91" spans="1:21" s="42" customFormat="1" ht="25.5" outlineLevel="1" x14ac:dyDescent="0.2">
      <c r="A91" s="107" t="s">
        <v>253</v>
      </c>
      <c r="B91" s="43" t="s">
        <v>254</v>
      </c>
      <c r="C91" s="92">
        <f>SUM(C92,C93,C97,C105)</f>
        <v>108.5</v>
      </c>
      <c r="D91" s="92">
        <f t="shared" ref="D91:U91" si="41">SUM(D92,D93,D97,D105)</f>
        <v>108.5</v>
      </c>
      <c r="E91" s="92">
        <f t="shared" si="41"/>
        <v>0</v>
      </c>
      <c r="F91" s="92">
        <f t="shared" si="41"/>
        <v>0</v>
      </c>
      <c r="G91" s="92">
        <f t="shared" si="41"/>
        <v>0</v>
      </c>
      <c r="H91" s="92">
        <f t="shared" si="41"/>
        <v>0</v>
      </c>
      <c r="I91" s="92">
        <f t="shared" si="41"/>
        <v>0</v>
      </c>
      <c r="J91" s="92">
        <f t="shared" si="41"/>
        <v>0</v>
      </c>
      <c r="K91" s="92">
        <f t="shared" si="41"/>
        <v>0</v>
      </c>
      <c r="L91" s="92">
        <f t="shared" si="41"/>
        <v>0</v>
      </c>
      <c r="M91" s="92">
        <f t="shared" si="41"/>
        <v>0</v>
      </c>
      <c r="N91" s="92">
        <f t="shared" si="41"/>
        <v>0</v>
      </c>
      <c r="O91" s="92">
        <f t="shared" si="41"/>
        <v>0</v>
      </c>
      <c r="P91" s="92">
        <f t="shared" si="41"/>
        <v>0</v>
      </c>
      <c r="Q91" s="92">
        <f t="shared" si="41"/>
        <v>0</v>
      </c>
      <c r="R91" s="92">
        <f t="shared" si="41"/>
        <v>0</v>
      </c>
      <c r="S91" s="92">
        <f t="shared" si="41"/>
        <v>108.5</v>
      </c>
      <c r="T91" s="92">
        <f t="shared" si="41"/>
        <v>0</v>
      </c>
      <c r="U91" s="92">
        <f t="shared" si="41"/>
        <v>0</v>
      </c>
    </row>
    <row r="92" spans="1:21" ht="25.5" outlineLevel="2" x14ac:dyDescent="0.2">
      <c r="A92" s="108" t="s">
        <v>255</v>
      </c>
      <c r="B92" s="46" t="s">
        <v>256</v>
      </c>
      <c r="C92" s="93">
        <f>D92+F92</f>
        <v>12</v>
      </c>
      <c r="D92" s="94">
        <f t="shared" ref="D92:F105" si="42">G92+J92+M92+P92+S92</f>
        <v>12</v>
      </c>
      <c r="E92" s="94">
        <f t="shared" si="42"/>
        <v>0</v>
      </c>
      <c r="F92" s="94">
        <f t="shared" si="42"/>
        <v>0</v>
      </c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>
        <f>ROUND([2]Budget_F2_Summary!$F$395/1000,1)</f>
        <v>12</v>
      </c>
      <c r="T92" s="95"/>
      <c r="U92" s="95"/>
    </row>
    <row r="93" spans="1:21" ht="24.95" customHeight="1" outlineLevel="2" x14ac:dyDescent="0.2">
      <c r="A93" s="108" t="s">
        <v>257</v>
      </c>
      <c r="B93" s="46" t="s">
        <v>600</v>
      </c>
      <c r="C93" s="93">
        <f>D93+F93</f>
        <v>20</v>
      </c>
      <c r="D93" s="94">
        <f t="shared" si="42"/>
        <v>20</v>
      </c>
      <c r="E93" s="94">
        <f t="shared" si="42"/>
        <v>0</v>
      </c>
      <c r="F93" s="94">
        <f t="shared" si="42"/>
        <v>0</v>
      </c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>
        <f>ROUND([2]Budget_F2_Summary!$F$392/1000,1)</f>
        <v>20</v>
      </c>
      <c r="T93" s="95"/>
      <c r="U93" s="95"/>
    </row>
    <row r="94" spans="1:21" s="173" customFormat="1" ht="24.95" customHeight="1" outlineLevel="3" x14ac:dyDescent="0.2">
      <c r="A94" s="168" t="s">
        <v>594</v>
      </c>
      <c r="B94" s="169" t="s">
        <v>595</v>
      </c>
      <c r="C94" s="170">
        <f t="shared" ref="C94:C96" si="43">D94+F94</f>
        <v>2.2999999999999998</v>
      </c>
      <c r="D94" s="171">
        <f t="shared" ref="D94:D96" si="44">G94+J94+M94+P94+S94</f>
        <v>2.2999999999999998</v>
      </c>
      <c r="E94" s="171">
        <f t="shared" ref="E94:E96" si="45">H94+K94+N94+Q94+T94</f>
        <v>0</v>
      </c>
      <c r="F94" s="171">
        <f t="shared" ref="F94:F96" si="46">I94+L94+O94+R94+U94</f>
        <v>0</v>
      </c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>
        <f>ROUND('[3]2017-06-28'!$S$86/1000,1)</f>
        <v>2.2999999999999998</v>
      </c>
      <c r="T94" s="172"/>
      <c r="U94" s="172"/>
    </row>
    <row r="95" spans="1:21" s="173" customFormat="1" ht="24.95" customHeight="1" outlineLevel="3" x14ac:dyDescent="0.2">
      <c r="A95" s="168" t="s">
        <v>596</v>
      </c>
      <c r="B95" s="169" t="s">
        <v>597</v>
      </c>
      <c r="C95" s="170">
        <f t="shared" si="43"/>
        <v>7.7</v>
      </c>
      <c r="D95" s="171">
        <f t="shared" si="44"/>
        <v>7.7</v>
      </c>
      <c r="E95" s="171">
        <f t="shared" si="45"/>
        <v>0</v>
      </c>
      <c r="F95" s="171">
        <f t="shared" si="46"/>
        <v>0</v>
      </c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>
        <f>ROUND('[3]2017-06-28'!$S$87/1000,1)</f>
        <v>7.7</v>
      </c>
      <c r="T95" s="172"/>
      <c r="U95" s="172"/>
    </row>
    <row r="96" spans="1:21" s="173" customFormat="1" ht="38.25" outlineLevel="3" x14ac:dyDescent="0.2">
      <c r="A96" s="168" t="s">
        <v>598</v>
      </c>
      <c r="B96" s="169" t="s">
        <v>599</v>
      </c>
      <c r="C96" s="170">
        <f t="shared" si="43"/>
        <v>3.5</v>
      </c>
      <c r="D96" s="171">
        <f t="shared" si="44"/>
        <v>3.5</v>
      </c>
      <c r="E96" s="171">
        <f t="shared" si="45"/>
        <v>0</v>
      </c>
      <c r="F96" s="171">
        <f t="shared" si="46"/>
        <v>0</v>
      </c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>
        <f>ROUND('[3]2017-06-28'!$S$88/1000,1)</f>
        <v>3.5</v>
      </c>
      <c r="T96" s="172"/>
      <c r="U96" s="172"/>
    </row>
    <row r="97" spans="1:21" ht="38.25" outlineLevel="2" x14ac:dyDescent="0.2">
      <c r="A97" s="108" t="s">
        <v>258</v>
      </c>
      <c r="B97" s="46" t="s">
        <v>587</v>
      </c>
      <c r="C97" s="93">
        <f>D97+F97</f>
        <v>70</v>
      </c>
      <c r="D97" s="94">
        <f t="shared" si="42"/>
        <v>70</v>
      </c>
      <c r="E97" s="94">
        <f t="shared" si="42"/>
        <v>0</v>
      </c>
      <c r="F97" s="94">
        <f t="shared" si="42"/>
        <v>0</v>
      </c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>
        <f>ROUND([2]Budget_F2_Summary!$F$313/1000,1)</f>
        <v>70</v>
      </c>
      <c r="T97" s="95"/>
      <c r="U97" s="95"/>
    </row>
    <row r="98" spans="1:21" s="173" customFormat="1" ht="25.5" outlineLevel="3" x14ac:dyDescent="0.2">
      <c r="A98" s="168" t="s">
        <v>589</v>
      </c>
      <c r="B98" s="169" t="s">
        <v>601</v>
      </c>
      <c r="C98" s="170">
        <f t="shared" ref="C98" si="47">D98+F98</f>
        <v>4.7</v>
      </c>
      <c r="D98" s="171">
        <f t="shared" si="42"/>
        <v>4.7</v>
      </c>
      <c r="E98" s="171"/>
      <c r="F98" s="171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>
        <f>ROUND('[3]2017-05-18'!$S$86/1000,1)</f>
        <v>4.7</v>
      </c>
      <c r="T98" s="172"/>
      <c r="U98" s="172"/>
    </row>
    <row r="99" spans="1:21" s="173" customFormat="1" ht="38.25" outlineLevel="3" x14ac:dyDescent="0.2">
      <c r="A99" s="168" t="s">
        <v>588</v>
      </c>
      <c r="B99" s="169" t="s">
        <v>602</v>
      </c>
      <c r="C99" s="170">
        <f t="shared" ref="C99:C104" si="48">D99+F99</f>
        <v>0.8</v>
      </c>
      <c r="D99" s="171">
        <f t="shared" ref="D99:D104" si="49">G99+J99+M99+P99+S99</f>
        <v>0.8</v>
      </c>
      <c r="E99" s="171"/>
      <c r="F99" s="171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>
        <f>ROUND('[3]2017-05-18'!$S$87/1000,1)</f>
        <v>0.8</v>
      </c>
      <c r="T99" s="172"/>
      <c r="U99" s="172"/>
    </row>
    <row r="100" spans="1:21" s="173" customFormat="1" ht="25.5" outlineLevel="3" x14ac:dyDescent="0.2">
      <c r="A100" s="168" t="s">
        <v>608</v>
      </c>
      <c r="B100" s="169" t="s">
        <v>603</v>
      </c>
      <c r="C100" s="170">
        <f t="shared" si="48"/>
        <v>2.2999999999999998</v>
      </c>
      <c r="D100" s="171">
        <f t="shared" si="49"/>
        <v>2.2999999999999998</v>
      </c>
      <c r="E100" s="171"/>
      <c r="F100" s="171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>
        <f>ROUND('[3]2017-06-28'!$S$92/1000,1)</f>
        <v>2.2999999999999998</v>
      </c>
      <c r="T100" s="172"/>
      <c r="U100" s="172"/>
    </row>
    <row r="101" spans="1:21" s="173" customFormat="1" ht="38.25" outlineLevel="3" x14ac:dyDescent="0.2">
      <c r="A101" s="168" t="s">
        <v>609</v>
      </c>
      <c r="B101" s="169" t="s">
        <v>604</v>
      </c>
      <c r="C101" s="170">
        <f t="shared" si="48"/>
        <v>1.3</v>
      </c>
      <c r="D101" s="171">
        <f t="shared" si="49"/>
        <v>1.3</v>
      </c>
      <c r="E101" s="171"/>
      <c r="F101" s="171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>
        <f>ROUND('[3]2017-06-28'!$S$93/1000,1)</f>
        <v>1.3</v>
      </c>
      <c r="T101" s="172"/>
      <c r="U101" s="172"/>
    </row>
    <row r="102" spans="1:21" s="173" customFormat="1" ht="38.25" outlineLevel="3" x14ac:dyDescent="0.2">
      <c r="A102" s="168" t="s">
        <v>610</v>
      </c>
      <c r="B102" s="169" t="s">
        <v>605</v>
      </c>
      <c r="C102" s="170">
        <f t="shared" si="48"/>
        <v>1.5</v>
      </c>
      <c r="D102" s="171">
        <f t="shared" si="49"/>
        <v>1.5</v>
      </c>
      <c r="E102" s="171"/>
      <c r="F102" s="171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>
        <f>ROUND('[3]2017-06-28'!$S$94/1000,1)</f>
        <v>1.5</v>
      </c>
      <c r="T102" s="172"/>
      <c r="U102" s="172"/>
    </row>
    <row r="103" spans="1:21" s="173" customFormat="1" ht="38.25" outlineLevel="3" x14ac:dyDescent="0.2">
      <c r="A103" s="168" t="s">
        <v>611</v>
      </c>
      <c r="B103" s="169" t="s">
        <v>606</v>
      </c>
      <c r="C103" s="170">
        <f t="shared" si="48"/>
        <v>0.9</v>
      </c>
      <c r="D103" s="171">
        <f t="shared" si="49"/>
        <v>0.9</v>
      </c>
      <c r="E103" s="171"/>
      <c r="F103" s="171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>
        <f>ROUND('[3]2017-06-28'!$S$95/1000,1)</f>
        <v>0.9</v>
      </c>
      <c r="T103" s="172"/>
      <c r="U103" s="172"/>
    </row>
    <row r="104" spans="1:21" s="173" customFormat="1" ht="25.5" outlineLevel="3" x14ac:dyDescent="0.2">
      <c r="A104" s="168" t="s">
        <v>612</v>
      </c>
      <c r="B104" s="169" t="s">
        <v>607</v>
      </c>
      <c r="C104" s="170">
        <f t="shared" si="48"/>
        <v>0.6</v>
      </c>
      <c r="D104" s="171">
        <f t="shared" si="49"/>
        <v>0.6</v>
      </c>
      <c r="E104" s="171"/>
      <c r="F104" s="171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>
        <f>ROUND('[3]2017-06-28'!$S$96/1000,1)</f>
        <v>0.6</v>
      </c>
      <c r="T104" s="172"/>
      <c r="U104" s="172"/>
    </row>
    <row r="105" spans="1:21" ht="38.25" outlineLevel="2" x14ac:dyDescent="0.2">
      <c r="A105" s="108" t="s">
        <v>259</v>
      </c>
      <c r="B105" s="46" t="s">
        <v>260</v>
      </c>
      <c r="C105" s="93">
        <f>D105+F105</f>
        <v>6.5</v>
      </c>
      <c r="D105" s="94">
        <f t="shared" si="42"/>
        <v>6.5</v>
      </c>
      <c r="E105" s="94">
        <f t="shared" si="42"/>
        <v>0</v>
      </c>
      <c r="F105" s="94">
        <f t="shared" si="42"/>
        <v>0</v>
      </c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>
        <f>ROUND([2]Budget_F2_Summary!$F$452/1000+[2]Budget_F2_Summary!$F$401/1000,1)</f>
        <v>6.5</v>
      </c>
      <c r="T105" s="95"/>
      <c r="U105" s="95"/>
    </row>
    <row r="106" spans="1:21" s="42" customFormat="1" ht="12.95" customHeight="1" outlineLevel="1" x14ac:dyDescent="0.2">
      <c r="A106" s="107" t="s">
        <v>261</v>
      </c>
      <c r="B106" s="43" t="s">
        <v>262</v>
      </c>
      <c r="C106" s="92">
        <f>SUM(C107:C113)</f>
        <v>397.4</v>
      </c>
      <c r="D106" s="92">
        <f t="shared" ref="D106:U106" si="50">SUM(D107:D113)</f>
        <v>397.4</v>
      </c>
      <c r="E106" s="92">
        <f t="shared" si="50"/>
        <v>1.9</v>
      </c>
      <c r="F106" s="92">
        <f t="shared" si="50"/>
        <v>0</v>
      </c>
      <c r="G106" s="92">
        <f t="shared" si="50"/>
        <v>49.5</v>
      </c>
      <c r="H106" s="92">
        <f t="shared" si="50"/>
        <v>1.9</v>
      </c>
      <c r="I106" s="92">
        <f t="shared" si="50"/>
        <v>0</v>
      </c>
      <c r="J106" s="92">
        <f t="shared" si="50"/>
        <v>16.399999999999999</v>
      </c>
      <c r="K106" s="92">
        <f t="shared" si="50"/>
        <v>0</v>
      </c>
      <c r="L106" s="92">
        <f t="shared" si="50"/>
        <v>0</v>
      </c>
      <c r="M106" s="92">
        <f t="shared" si="50"/>
        <v>140.5</v>
      </c>
      <c r="N106" s="92">
        <f t="shared" si="50"/>
        <v>0</v>
      </c>
      <c r="O106" s="92">
        <f t="shared" si="50"/>
        <v>0</v>
      </c>
      <c r="P106" s="92">
        <f t="shared" si="50"/>
        <v>0</v>
      </c>
      <c r="Q106" s="92">
        <f t="shared" si="50"/>
        <v>0</v>
      </c>
      <c r="R106" s="92">
        <f t="shared" si="50"/>
        <v>0</v>
      </c>
      <c r="S106" s="92">
        <f t="shared" si="50"/>
        <v>191</v>
      </c>
      <c r="T106" s="92">
        <f t="shared" si="50"/>
        <v>0</v>
      </c>
      <c r="U106" s="92">
        <f t="shared" si="50"/>
        <v>0</v>
      </c>
    </row>
    <row r="107" spans="1:21" ht="25.5" outlineLevel="2" x14ac:dyDescent="0.2">
      <c r="A107" s="108" t="s">
        <v>263</v>
      </c>
      <c r="B107" s="46" t="s">
        <v>264</v>
      </c>
      <c r="C107" s="93">
        <f t="shared" ref="C107:C112" si="51">D107+F107</f>
        <v>104.39999999999999</v>
      </c>
      <c r="D107" s="94">
        <f t="shared" ref="D107:F112" si="52">G107+J107+M107+P107+S107</f>
        <v>104.39999999999999</v>
      </c>
      <c r="E107" s="94">
        <f t="shared" si="52"/>
        <v>0</v>
      </c>
      <c r="F107" s="94">
        <f t="shared" si="52"/>
        <v>0</v>
      </c>
      <c r="G107" s="98"/>
      <c r="H107" s="98"/>
      <c r="I107" s="98"/>
      <c r="J107" s="98"/>
      <c r="K107" s="98"/>
      <c r="L107" s="98"/>
      <c r="M107" s="98">
        <f>ROUND([4]Lapas1!$B$20/1000-[4]Lapas1!$B$22/1000,1)+ROUND('[3]2017-06-28'!$M$99/1000,1)</f>
        <v>104.39999999999999</v>
      </c>
      <c r="N107" s="98"/>
      <c r="O107" s="98"/>
      <c r="P107" s="98"/>
      <c r="Q107" s="98"/>
      <c r="R107" s="98"/>
      <c r="S107" s="98"/>
      <c r="T107" s="98"/>
      <c r="U107" s="98"/>
    </row>
    <row r="108" spans="1:21" ht="25.5" outlineLevel="2" x14ac:dyDescent="0.2">
      <c r="A108" s="108" t="s">
        <v>265</v>
      </c>
      <c r="B108" s="46" t="s">
        <v>273</v>
      </c>
      <c r="C108" s="93">
        <f t="shared" si="51"/>
        <v>115.6</v>
      </c>
      <c r="D108" s="94">
        <f t="shared" si="52"/>
        <v>115.6</v>
      </c>
      <c r="E108" s="94">
        <f t="shared" si="52"/>
        <v>0</v>
      </c>
      <c r="F108" s="94">
        <f t="shared" si="52"/>
        <v>0</v>
      </c>
      <c r="G108" s="95"/>
      <c r="H108" s="95"/>
      <c r="I108" s="95"/>
      <c r="J108" s="95"/>
      <c r="K108" s="95"/>
      <c r="L108" s="95"/>
      <c r="M108" s="95">
        <f>ROUND([4]Lapas1!$B$22/1000,1)</f>
        <v>36.1</v>
      </c>
      <c r="N108" s="95"/>
      <c r="O108" s="95"/>
      <c r="P108" s="95"/>
      <c r="Q108" s="95"/>
      <c r="R108" s="95"/>
      <c r="S108" s="95">
        <f>ROUND([2]Budget_F2_Summary!$F$283/1000,1)</f>
        <v>79.5</v>
      </c>
      <c r="T108" s="95"/>
      <c r="U108" s="95"/>
    </row>
    <row r="109" spans="1:21" ht="25.5" outlineLevel="2" x14ac:dyDescent="0.2">
      <c r="A109" s="108" t="s">
        <v>266</v>
      </c>
      <c r="B109" s="50" t="s">
        <v>274</v>
      </c>
      <c r="C109" s="93">
        <f t="shared" si="51"/>
        <v>4</v>
      </c>
      <c r="D109" s="94">
        <f t="shared" si="52"/>
        <v>4</v>
      </c>
      <c r="E109" s="94">
        <f t="shared" si="52"/>
        <v>0</v>
      </c>
      <c r="F109" s="94">
        <f t="shared" si="52"/>
        <v>0</v>
      </c>
      <c r="G109" s="94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>
        <f>ROUND([2]Budget_F2_Summary!$F$345/1000,1)</f>
        <v>4</v>
      </c>
      <c r="T109" s="95"/>
      <c r="U109" s="95"/>
    </row>
    <row r="110" spans="1:21" outlineLevel="2" x14ac:dyDescent="0.2">
      <c r="A110" s="108" t="s">
        <v>268</v>
      </c>
      <c r="B110" s="46" t="s">
        <v>269</v>
      </c>
      <c r="C110" s="93">
        <f t="shared" si="51"/>
        <v>103</v>
      </c>
      <c r="D110" s="94">
        <f t="shared" si="52"/>
        <v>103</v>
      </c>
      <c r="E110" s="94">
        <f t="shared" ref="E110:F110" si="53">H110+K110+N110+Q110+T110</f>
        <v>0</v>
      </c>
      <c r="F110" s="94">
        <f t="shared" si="53"/>
        <v>0</v>
      </c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>
        <f>ROUND([2]Budget_F2_Summary!$F$254/1000,1)</f>
        <v>103</v>
      </c>
      <c r="T110" s="95"/>
      <c r="U110" s="95"/>
    </row>
    <row r="111" spans="1:21" outlineLevel="2" x14ac:dyDescent="0.2">
      <c r="A111" s="108" t="s">
        <v>270</v>
      </c>
      <c r="B111" s="46" t="s">
        <v>271</v>
      </c>
      <c r="C111" s="93">
        <f t="shared" si="51"/>
        <v>63.4</v>
      </c>
      <c r="D111" s="94">
        <f t="shared" si="52"/>
        <v>63.4</v>
      </c>
      <c r="E111" s="94"/>
      <c r="F111" s="94"/>
      <c r="G111" s="95">
        <f>ROUND([2]Budget_F2_Summary!$F$316/1000,1)</f>
        <v>47</v>
      </c>
      <c r="H111" s="95"/>
      <c r="I111" s="95"/>
      <c r="J111" s="95">
        <f>ROUND([2]Budget_F2_Summary!$F$463/1000,1)</f>
        <v>16.399999999999999</v>
      </c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</row>
    <row r="112" spans="1:21" outlineLevel="2" x14ac:dyDescent="0.2">
      <c r="A112" s="108" t="s">
        <v>272</v>
      </c>
      <c r="B112" s="46" t="s">
        <v>267</v>
      </c>
      <c r="C112" s="93">
        <f t="shared" si="51"/>
        <v>4.5</v>
      </c>
      <c r="D112" s="94">
        <f t="shared" si="52"/>
        <v>4.5</v>
      </c>
      <c r="E112" s="94">
        <f>H112+K112+N112+Q112+T112</f>
        <v>0</v>
      </c>
      <c r="F112" s="94">
        <f>I112+L112+O112+R112+U112</f>
        <v>0</v>
      </c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>
        <f>ROUND([2]Budget_F2_Summary!$F$290/1000,1)</f>
        <v>4.5</v>
      </c>
      <c r="T112" s="95"/>
      <c r="U112" s="95"/>
    </row>
    <row r="113" spans="1:21" outlineLevel="2" x14ac:dyDescent="0.2">
      <c r="A113" s="108" t="s">
        <v>613</v>
      </c>
      <c r="B113" s="51" t="s">
        <v>614</v>
      </c>
      <c r="C113" s="93">
        <f t="shared" ref="C113" si="54">D113+F113</f>
        <v>2.5</v>
      </c>
      <c r="D113" s="94">
        <f t="shared" ref="D113" si="55">G113+J113+M113+P113+S113</f>
        <v>2.5</v>
      </c>
      <c r="E113" s="94">
        <f>H113+K113+N113+Q113+T113</f>
        <v>1.9</v>
      </c>
      <c r="F113" s="94">
        <f>I113+L113+O113+R113+U113</f>
        <v>0</v>
      </c>
      <c r="G113" s="95">
        <f>ROUND('[3]2017-06-28'!$G$105/1000,1)</f>
        <v>2.5</v>
      </c>
      <c r="H113" s="95">
        <f>ROUND('[3]2017-06-28'!$H$105/1000,1)</f>
        <v>1.9</v>
      </c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</row>
    <row r="114" spans="1:21" s="42" customFormat="1" ht="25.5" outlineLevel="1" x14ac:dyDescent="0.2">
      <c r="A114" s="107" t="s">
        <v>275</v>
      </c>
      <c r="B114" s="48" t="s">
        <v>276</v>
      </c>
      <c r="C114" s="92">
        <f t="shared" ref="C114:U114" si="56">SUM(C115:C130)</f>
        <v>2318.1999999999998</v>
      </c>
      <c r="D114" s="92">
        <f t="shared" si="56"/>
        <v>2280</v>
      </c>
      <c r="E114" s="92">
        <f t="shared" si="56"/>
        <v>26.8</v>
      </c>
      <c r="F114" s="92">
        <f t="shared" si="56"/>
        <v>38.200000000000003</v>
      </c>
      <c r="G114" s="92">
        <f t="shared" si="56"/>
        <v>1705.3</v>
      </c>
      <c r="H114" s="92">
        <f t="shared" si="56"/>
        <v>14</v>
      </c>
      <c r="I114" s="92">
        <f t="shared" si="56"/>
        <v>0</v>
      </c>
      <c r="J114" s="92">
        <f t="shared" si="56"/>
        <v>0</v>
      </c>
      <c r="K114" s="92">
        <f t="shared" si="56"/>
        <v>0</v>
      </c>
      <c r="L114" s="92">
        <f t="shared" si="56"/>
        <v>0</v>
      </c>
      <c r="M114" s="92">
        <f t="shared" si="56"/>
        <v>0</v>
      </c>
      <c r="N114" s="92">
        <f t="shared" si="56"/>
        <v>0</v>
      </c>
      <c r="O114" s="92">
        <f t="shared" si="56"/>
        <v>0</v>
      </c>
      <c r="P114" s="92">
        <f t="shared" si="56"/>
        <v>0</v>
      </c>
      <c r="Q114" s="92">
        <f t="shared" si="56"/>
        <v>0</v>
      </c>
      <c r="R114" s="92">
        <f t="shared" si="56"/>
        <v>0</v>
      </c>
      <c r="S114" s="92">
        <f t="shared" si="56"/>
        <v>574.70000000000005</v>
      </c>
      <c r="T114" s="92">
        <f t="shared" si="56"/>
        <v>12.8</v>
      </c>
      <c r="U114" s="92">
        <f t="shared" si="56"/>
        <v>38.200000000000003</v>
      </c>
    </row>
    <row r="115" spans="1:21" outlineLevel="2" x14ac:dyDescent="0.2">
      <c r="A115" s="108" t="s">
        <v>277</v>
      </c>
      <c r="B115" s="46" t="s">
        <v>295</v>
      </c>
      <c r="C115" s="93">
        <f t="shared" ref="C115:C116" si="57">D115+F115</f>
        <v>40</v>
      </c>
      <c r="D115" s="94">
        <f t="shared" ref="D115:D119" si="58">G115+J115+M115+P115+S115</f>
        <v>40</v>
      </c>
      <c r="E115" s="94">
        <f t="shared" ref="E115:E116" si="59">H115+K115+N115+Q115+T115</f>
        <v>0</v>
      </c>
      <c r="F115" s="94">
        <f t="shared" ref="F115:F116" si="60">I115+L115+O115+R115+U115</f>
        <v>0</v>
      </c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4">
        <f>ROUND([2]Budget_F2_Summary!$F$205/1000,1)+ROUND('[3]2017-06-28'!$S$107/1000,1)</f>
        <v>40</v>
      </c>
      <c r="T115" s="95"/>
      <c r="U115" s="95"/>
    </row>
    <row r="116" spans="1:21" ht="25.5" outlineLevel="2" x14ac:dyDescent="0.2">
      <c r="A116" s="108" t="s">
        <v>279</v>
      </c>
      <c r="B116" s="46" t="s">
        <v>299</v>
      </c>
      <c r="C116" s="93">
        <f t="shared" si="57"/>
        <v>7</v>
      </c>
      <c r="D116" s="94">
        <f t="shared" si="58"/>
        <v>7</v>
      </c>
      <c r="E116" s="94">
        <f t="shared" si="59"/>
        <v>0</v>
      </c>
      <c r="F116" s="94">
        <f t="shared" si="60"/>
        <v>0</v>
      </c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4">
        <f>ROUND([2]Budget_F2_Summary!$F$251/1000,1)</f>
        <v>7</v>
      </c>
      <c r="T116" s="95"/>
      <c r="U116" s="95"/>
    </row>
    <row r="117" spans="1:21" ht="25.5" outlineLevel="2" x14ac:dyDescent="0.2">
      <c r="A117" s="108" t="s">
        <v>282</v>
      </c>
      <c r="B117" s="46" t="s">
        <v>285</v>
      </c>
      <c r="C117" s="93">
        <f t="shared" ref="C117:C130" si="61">D117+F117</f>
        <v>10.8</v>
      </c>
      <c r="D117" s="94">
        <f t="shared" si="58"/>
        <v>10.8</v>
      </c>
      <c r="E117" s="94">
        <f>H117+K117+N117+Q117+T117</f>
        <v>0</v>
      </c>
      <c r="F117" s="94">
        <f>I117+L117+O117+R117+U117</f>
        <v>0</v>
      </c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>
        <f>ROUND([2]Budget_F2_Summary!$F$370/1000+'[3]2017-04-28'!$S$97/1000,1)</f>
        <v>10.8</v>
      </c>
      <c r="T117" s="95"/>
      <c r="U117" s="95"/>
    </row>
    <row r="118" spans="1:21" outlineLevel="2" x14ac:dyDescent="0.2">
      <c r="A118" s="108" t="s">
        <v>284</v>
      </c>
      <c r="B118" s="46" t="s">
        <v>556</v>
      </c>
      <c r="C118" s="93">
        <f t="shared" si="61"/>
        <v>19</v>
      </c>
      <c r="D118" s="94">
        <f t="shared" si="58"/>
        <v>19</v>
      </c>
      <c r="E118" s="94">
        <f t="shared" ref="E118" si="62">H118+K118+N118+Q118+T118</f>
        <v>12.8</v>
      </c>
      <c r="F118" s="94">
        <f t="shared" ref="F118" si="63">I118+L118+O118+R118+U118</f>
        <v>0</v>
      </c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>
        <f>ROUND([2]Budget_F2_Summary!$F$515/1000,1)</f>
        <v>19</v>
      </c>
      <c r="T118" s="95">
        <f>ROUND([2]Budget_F2_Summary!$F$510/1000,1)</f>
        <v>12.8</v>
      </c>
      <c r="U118" s="95"/>
    </row>
    <row r="119" spans="1:21" ht="25.5" outlineLevel="2" x14ac:dyDescent="0.2">
      <c r="A119" s="108" t="s">
        <v>286</v>
      </c>
      <c r="B119" s="46" t="s">
        <v>291</v>
      </c>
      <c r="C119" s="93">
        <f t="shared" si="61"/>
        <v>55</v>
      </c>
      <c r="D119" s="94">
        <f t="shared" si="58"/>
        <v>55</v>
      </c>
      <c r="E119" s="93">
        <f t="shared" ref="E119" si="64">F119+H119</f>
        <v>0</v>
      </c>
      <c r="F119" s="93">
        <f t="shared" ref="F119" si="65">G119+I119</f>
        <v>0</v>
      </c>
      <c r="G119" s="93">
        <f t="shared" ref="G119" si="66">H119+J119</f>
        <v>0</v>
      </c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>
        <f>ROUND([2]Budget_F2_Summary!$F$202/1000,1)</f>
        <v>55</v>
      </c>
      <c r="T119" s="95"/>
      <c r="U119" s="95"/>
    </row>
    <row r="120" spans="1:21" outlineLevel="2" x14ac:dyDescent="0.2">
      <c r="A120" s="108" t="s">
        <v>288</v>
      </c>
      <c r="B120" s="46" t="s">
        <v>297</v>
      </c>
      <c r="C120" s="93">
        <f t="shared" si="61"/>
        <v>137.4</v>
      </c>
      <c r="D120" s="94">
        <f t="shared" ref="D120:F125" si="67">G120+J120+M120+P120+S120</f>
        <v>137.4</v>
      </c>
      <c r="E120" s="94">
        <f t="shared" si="67"/>
        <v>2.8</v>
      </c>
      <c r="F120" s="94">
        <f t="shared" si="67"/>
        <v>0</v>
      </c>
      <c r="G120" s="95">
        <f>ROUND([2]Budget_F2_Summary!$F$10/1000+[2]Budget_F2_Summary!$F$332/1000+[2]Budget_F2_Summary!$F$335/1000,1)</f>
        <v>137.4</v>
      </c>
      <c r="H120" s="95">
        <f>ROUND([2]Budget_F2_Summary!$F$330/1000,1)</f>
        <v>2.8</v>
      </c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4"/>
      <c r="T120" s="95"/>
      <c r="U120" s="95"/>
    </row>
    <row r="121" spans="1:21" outlineLevel="2" x14ac:dyDescent="0.2">
      <c r="A121" s="108" t="s">
        <v>290</v>
      </c>
      <c r="B121" s="46" t="s">
        <v>289</v>
      </c>
      <c r="C121" s="93">
        <f t="shared" si="61"/>
        <v>1220</v>
      </c>
      <c r="D121" s="94">
        <f t="shared" si="67"/>
        <v>1220</v>
      </c>
      <c r="E121" s="94">
        <f t="shared" si="67"/>
        <v>0</v>
      </c>
      <c r="F121" s="94">
        <f t="shared" si="67"/>
        <v>0</v>
      </c>
      <c r="G121" s="95">
        <f>ROUND([2]Budget_F2_Summary!$F$428/1000,1)</f>
        <v>1062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4">
        <f>ROUND([2]Budget_F2_Summary!$F$425/1000,1)</f>
        <v>158</v>
      </c>
      <c r="T121" s="95"/>
      <c r="U121" s="95"/>
    </row>
    <row r="122" spans="1:21" outlineLevel="2" x14ac:dyDescent="0.2">
      <c r="A122" s="108" t="s">
        <v>292</v>
      </c>
      <c r="B122" s="46" t="s">
        <v>280</v>
      </c>
      <c r="C122" s="93">
        <f t="shared" si="61"/>
        <v>53.7</v>
      </c>
      <c r="D122" s="94">
        <f t="shared" si="67"/>
        <v>53.7</v>
      </c>
      <c r="E122" s="94">
        <f t="shared" si="67"/>
        <v>6.2</v>
      </c>
      <c r="F122" s="94">
        <f t="shared" si="67"/>
        <v>0</v>
      </c>
      <c r="G122" s="95">
        <f>ROUND([2]Budget_F2_Summary!$F$197/1000+[2]Budget_F2_Summary!$F$277/1000,1)</f>
        <v>53.7</v>
      </c>
      <c r="H122" s="95">
        <f>ROUND([2]Budget_F2_Summary!$F$275/1000,1)</f>
        <v>6.2</v>
      </c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</row>
    <row r="123" spans="1:21" ht="25.5" outlineLevel="2" x14ac:dyDescent="0.2">
      <c r="A123" s="108" t="s">
        <v>294</v>
      </c>
      <c r="B123" s="46" t="s">
        <v>495</v>
      </c>
      <c r="C123" s="93">
        <f t="shared" ref="C123" si="68">D123+F123</f>
        <v>2.8</v>
      </c>
      <c r="D123" s="94">
        <f t="shared" ref="D123" si="69">G123+J123+M123+P123+S123</f>
        <v>2.8</v>
      </c>
      <c r="E123" s="94">
        <f t="shared" ref="E123" si="70">H123+K123+N123+Q123+T123</f>
        <v>1.8</v>
      </c>
      <c r="F123" s="94">
        <f t="shared" ref="F123" si="71">I123+L123+O123+R123+U123</f>
        <v>0</v>
      </c>
      <c r="G123" s="95">
        <v>2.8</v>
      </c>
      <c r="H123" s="95">
        <v>1.8</v>
      </c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</row>
    <row r="124" spans="1:21" ht="25.5" outlineLevel="2" x14ac:dyDescent="0.2">
      <c r="A124" s="108" t="s">
        <v>296</v>
      </c>
      <c r="B124" s="46" t="s">
        <v>490</v>
      </c>
      <c r="C124" s="93">
        <f t="shared" si="61"/>
        <v>9.3999999999999986</v>
      </c>
      <c r="D124" s="94">
        <f t="shared" si="67"/>
        <v>9.3999999999999986</v>
      </c>
      <c r="E124" s="94">
        <f t="shared" si="67"/>
        <v>0</v>
      </c>
      <c r="F124" s="94">
        <f t="shared" si="67"/>
        <v>0</v>
      </c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>
        <f>ROUND([2]Budget_F2_Summary!$F$422/1000,1)+ROUND('[3]2017-06-28'!$S$116/1000,1)</f>
        <v>9.3999999999999986</v>
      </c>
      <c r="T124" s="95"/>
      <c r="U124" s="95"/>
    </row>
    <row r="125" spans="1:21" outlineLevel="2" x14ac:dyDescent="0.2">
      <c r="A125" s="108" t="s">
        <v>298</v>
      </c>
      <c r="B125" s="46" t="s">
        <v>488</v>
      </c>
      <c r="C125" s="93">
        <f t="shared" si="61"/>
        <v>396.1</v>
      </c>
      <c r="D125" s="94">
        <f t="shared" si="67"/>
        <v>396.1</v>
      </c>
      <c r="E125" s="94">
        <f t="shared" si="67"/>
        <v>3.2</v>
      </c>
      <c r="F125" s="94">
        <f t="shared" si="67"/>
        <v>0</v>
      </c>
      <c r="G125" s="94">
        <f>ROUND([2]Budget_F2_Summary!$F$186/1000+[2]Budget_F2_Summary!$F$191/1000,1)</f>
        <v>297.60000000000002</v>
      </c>
      <c r="H125" s="95">
        <f>ROUND([2]Budget_F2_Summary!$F$188/1000,1)</f>
        <v>3.2</v>
      </c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4">
        <f>ROUND([2]Budget_F2_Summary!$F$183/1000,1)</f>
        <v>98.5</v>
      </c>
      <c r="T125" s="95"/>
      <c r="U125" s="95"/>
    </row>
    <row r="126" spans="1:21" outlineLevel="2" x14ac:dyDescent="0.2">
      <c r="A126" s="108" t="s">
        <v>300</v>
      </c>
      <c r="B126" s="46" t="s">
        <v>287</v>
      </c>
      <c r="C126" s="93">
        <f t="shared" si="61"/>
        <v>230.60000000000002</v>
      </c>
      <c r="D126" s="94">
        <f t="shared" ref="D126:E130" si="72">G126+J126+M126+P126+S126</f>
        <v>230.60000000000002</v>
      </c>
      <c r="E126" s="94">
        <f t="shared" si="72"/>
        <v>0</v>
      </c>
      <c r="F126" s="94"/>
      <c r="G126" s="95">
        <f>ROUND([2]Budget_F2_Summary!$F$304/1000,1)+ROUND('[3]2017-06-28'!$G$118/1000,1)</f>
        <v>151.80000000000001</v>
      </c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4">
        <f>ROUND([2]Budget_F2_Summary!$F$301/1000+[2]Budget_F2_Summary!$F$307/1000,1)</f>
        <v>78.8</v>
      </c>
      <c r="T126" s="95"/>
      <c r="U126" s="95"/>
    </row>
    <row r="127" spans="1:21" outlineLevel="2" x14ac:dyDescent="0.2">
      <c r="A127" s="108" t="s">
        <v>302</v>
      </c>
      <c r="B127" s="46" t="s">
        <v>301</v>
      </c>
      <c r="C127" s="93">
        <f t="shared" si="61"/>
        <v>38.200000000000003</v>
      </c>
      <c r="D127" s="94">
        <f t="shared" si="72"/>
        <v>0</v>
      </c>
      <c r="E127" s="94">
        <f t="shared" si="72"/>
        <v>0</v>
      </c>
      <c r="F127" s="94">
        <f>I127+L127+O127+R127+U127</f>
        <v>38.200000000000003</v>
      </c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4"/>
      <c r="T127" s="95"/>
      <c r="U127" s="95">
        <f>' 2016 m. nepanaudotos pajamos'!L29</f>
        <v>38.200000000000003</v>
      </c>
    </row>
    <row r="128" spans="1:21" ht="38.25" outlineLevel="2" x14ac:dyDescent="0.2">
      <c r="A128" s="108" t="s">
        <v>489</v>
      </c>
      <c r="B128" s="46" t="s">
        <v>278</v>
      </c>
      <c r="C128" s="93">
        <f t="shared" si="61"/>
        <v>3</v>
      </c>
      <c r="D128" s="94">
        <f t="shared" si="72"/>
        <v>3</v>
      </c>
      <c r="E128" s="94">
        <f t="shared" si="72"/>
        <v>0</v>
      </c>
      <c r="F128" s="94">
        <f>I128+L128+O128+R128+U128</f>
        <v>0</v>
      </c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>
        <f>ROUND([2]Budget_F2_Summary!$F$322/1000,1)</f>
        <v>3</v>
      </c>
      <c r="T128" s="95"/>
      <c r="U128" s="95"/>
    </row>
    <row r="129" spans="1:21" outlineLevel="2" x14ac:dyDescent="0.2">
      <c r="A129" s="108" t="s">
        <v>557</v>
      </c>
      <c r="B129" s="46" t="s">
        <v>281</v>
      </c>
      <c r="C129" s="93">
        <f t="shared" si="61"/>
        <v>80.2</v>
      </c>
      <c r="D129" s="94">
        <f t="shared" si="72"/>
        <v>80.2</v>
      </c>
      <c r="E129" s="94">
        <f t="shared" si="72"/>
        <v>0</v>
      </c>
      <c r="F129" s="94">
        <f>I129+L129+O129+R129+U129</f>
        <v>0</v>
      </c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4">
        <f>ROUND([2]Budget_F2_Summary!$F$194/1000+[2]Budget_F2_Summary!$F$248/1000+'[3]2017-04-28'!$S$109/1000,1)+ROUND('[3]2017-06-28'!$S$121/1000,1)</f>
        <v>80.2</v>
      </c>
      <c r="T129" s="95"/>
      <c r="U129" s="95"/>
    </row>
    <row r="130" spans="1:21" outlineLevel="2" x14ac:dyDescent="0.2">
      <c r="A130" s="108" t="s">
        <v>565</v>
      </c>
      <c r="B130" s="46" t="s">
        <v>293</v>
      </c>
      <c r="C130" s="93">
        <f t="shared" si="61"/>
        <v>15</v>
      </c>
      <c r="D130" s="94">
        <f t="shared" si="72"/>
        <v>15</v>
      </c>
      <c r="E130" s="94">
        <f t="shared" si="72"/>
        <v>0</v>
      </c>
      <c r="F130" s="94">
        <f>I130+L130+O130+R130+U130</f>
        <v>0</v>
      </c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4">
        <f>ROUND([2]Budget_F2_Summary!$F$208/1000,1)</f>
        <v>15</v>
      </c>
      <c r="T130" s="95"/>
      <c r="U130" s="95"/>
    </row>
    <row r="131" spans="1:21" s="42" customFormat="1" ht="25.5" x14ac:dyDescent="0.2">
      <c r="A131" s="107" t="s">
        <v>21</v>
      </c>
      <c r="B131" s="45" t="s">
        <v>303</v>
      </c>
      <c r="C131" s="92">
        <f t="shared" ref="C131:U131" si="73">C132</f>
        <v>3.6</v>
      </c>
      <c r="D131" s="92">
        <f t="shared" si="73"/>
        <v>3.6</v>
      </c>
      <c r="E131" s="92">
        <f t="shared" si="73"/>
        <v>0</v>
      </c>
      <c r="F131" s="92">
        <f t="shared" si="73"/>
        <v>0</v>
      </c>
      <c r="G131" s="92">
        <f t="shared" si="73"/>
        <v>0</v>
      </c>
      <c r="H131" s="92">
        <f t="shared" si="73"/>
        <v>0</v>
      </c>
      <c r="I131" s="92">
        <f t="shared" si="73"/>
        <v>0</v>
      </c>
      <c r="J131" s="92">
        <f t="shared" si="73"/>
        <v>0</v>
      </c>
      <c r="K131" s="92">
        <f t="shared" si="73"/>
        <v>0</v>
      </c>
      <c r="L131" s="92">
        <f t="shared" si="73"/>
        <v>0</v>
      </c>
      <c r="M131" s="92">
        <f t="shared" si="73"/>
        <v>0</v>
      </c>
      <c r="N131" s="92">
        <f t="shared" si="73"/>
        <v>0</v>
      </c>
      <c r="O131" s="92">
        <f t="shared" si="73"/>
        <v>0</v>
      </c>
      <c r="P131" s="92">
        <f t="shared" si="73"/>
        <v>0</v>
      </c>
      <c r="Q131" s="92">
        <f t="shared" si="73"/>
        <v>0</v>
      </c>
      <c r="R131" s="92">
        <f t="shared" si="73"/>
        <v>0</v>
      </c>
      <c r="S131" s="92">
        <f t="shared" si="73"/>
        <v>3.6</v>
      </c>
      <c r="T131" s="92">
        <f t="shared" si="73"/>
        <v>0</v>
      </c>
      <c r="U131" s="92">
        <f t="shared" si="73"/>
        <v>0</v>
      </c>
    </row>
    <row r="132" spans="1:21" s="42" customFormat="1" ht="24.95" customHeight="1" outlineLevel="1" x14ac:dyDescent="0.2">
      <c r="A132" s="104" t="s">
        <v>44</v>
      </c>
      <c r="B132" s="43" t="s">
        <v>200</v>
      </c>
      <c r="C132" s="92">
        <f t="shared" ref="C132:U132" si="74">SUM(C133:C135)</f>
        <v>3.6</v>
      </c>
      <c r="D132" s="92">
        <f t="shared" si="74"/>
        <v>3.6</v>
      </c>
      <c r="E132" s="92">
        <f t="shared" si="74"/>
        <v>0</v>
      </c>
      <c r="F132" s="92">
        <f t="shared" si="74"/>
        <v>0</v>
      </c>
      <c r="G132" s="92">
        <f t="shared" si="74"/>
        <v>0</v>
      </c>
      <c r="H132" s="92">
        <f t="shared" si="74"/>
        <v>0</v>
      </c>
      <c r="I132" s="92">
        <f t="shared" si="74"/>
        <v>0</v>
      </c>
      <c r="J132" s="92">
        <f t="shared" si="74"/>
        <v>0</v>
      </c>
      <c r="K132" s="92">
        <f t="shared" si="74"/>
        <v>0</v>
      </c>
      <c r="L132" s="92">
        <f t="shared" si="74"/>
        <v>0</v>
      </c>
      <c r="M132" s="92">
        <f t="shared" si="74"/>
        <v>0</v>
      </c>
      <c r="N132" s="92">
        <f t="shared" si="74"/>
        <v>0</v>
      </c>
      <c r="O132" s="92">
        <f t="shared" si="74"/>
        <v>0</v>
      </c>
      <c r="P132" s="92">
        <f t="shared" si="74"/>
        <v>0</v>
      </c>
      <c r="Q132" s="92">
        <f t="shared" si="74"/>
        <v>0</v>
      </c>
      <c r="R132" s="92">
        <f t="shared" si="74"/>
        <v>0</v>
      </c>
      <c r="S132" s="92">
        <f t="shared" si="74"/>
        <v>3.6</v>
      </c>
      <c r="T132" s="92">
        <f t="shared" si="74"/>
        <v>0</v>
      </c>
      <c r="U132" s="92">
        <f t="shared" si="74"/>
        <v>0</v>
      </c>
    </row>
    <row r="133" spans="1:21" ht="12.95" customHeight="1" outlineLevel="2" x14ac:dyDescent="0.2">
      <c r="A133" s="108" t="s">
        <v>46</v>
      </c>
      <c r="B133" s="46" t="s">
        <v>304</v>
      </c>
      <c r="C133" s="93">
        <f>D133+F133</f>
        <v>1.3</v>
      </c>
      <c r="D133" s="94">
        <f>G133+J133+M133+P133+S133</f>
        <v>1.3</v>
      </c>
      <c r="E133" s="94">
        <f>H133+K133+N133+Q133+T133</f>
        <v>0</v>
      </c>
      <c r="F133" s="94">
        <f>I133+L133+O133+R133+U133</f>
        <v>0</v>
      </c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>
        <f>ROUND([5]Suvestine!$L$6/1000,1)</f>
        <v>1.3</v>
      </c>
      <c r="T133" s="95"/>
      <c r="U133" s="95"/>
    </row>
    <row r="134" spans="1:21" ht="25.5" outlineLevel="2" x14ac:dyDescent="0.2">
      <c r="A134" s="108" t="s">
        <v>47</v>
      </c>
      <c r="B134" s="46" t="s">
        <v>306</v>
      </c>
      <c r="C134" s="93">
        <f>D134+F134</f>
        <v>1.3</v>
      </c>
      <c r="D134" s="94">
        <f>G134+J134+M134+P134+S134</f>
        <v>1.3</v>
      </c>
      <c r="E134" s="94"/>
      <c r="F134" s="94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>
        <f>ROUND([5]Suvestine!$G$6/1000,1)</f>
        <v>1.3</v>
      </c>
      <c r="T134" s="95"/>
      <c r="U134" s="95"/>
    </row>
    <row r="135" spans="1:21" outlineLevel="2" x14ac:dyDescent="0.2">
      <c r="A135" s="108" t="s">
        <v>48</v>
      </c>
      <c r="B135" s="46" t="s">
        <v>305</v>
      </c>
      <c r="C135" s="93">
        <f>D135+F135</f>
        <v>1</v>
      </c>
      <c r="D135" s="94">
        <f>G135+J135+M135+P135+S135</f>
        <v>1</v>
      </c>
      <c r="E135" s="94">
        <f>H135+K135+N135+Q135+T135</f>
        <v>0</v>
      </c>
      <c r="F135" s="94">
        <f>I135+L135+O135+R135+U135</f>
        <v>0</v>
      </c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>
        <f>ROUND([5]Suvestine!$N$6/1000,1)</f>
        <v>1</v>
      </c>
      <c r="T135" s="95"/>
      <c r="U135" s="95"/>
    </row>
    <row r="136" spans="1:21" s="42" customFormat="1" ht="25.5" x14ac:dyDescent="0.2">
      <c r="A136" s="107" t="s">
        <v>22</v>
      </c>
      <c r="B136" s="45" t="s">
        <v>307</v>
      </c>
      <c r="C136" s="92">
        <f t="shared" ref="C136:U136" si="75">C137</f>
        <v>10.600000000000001</v>
      </c>
      <c r="D136" s="92">
        <f t="shared" si="75"/>
        <v>10.600000000000001</v>
      </c>
      <c r="E136" s="92">
        <f t="shared" si="75"/>
        <v>0</v>
      </c>
      <c r="F136" s="92">
        <f t="shared" si="75"/>
        <v>0</v>
      </c>
      <c r="G136" s="92">
        <f t="shared" si="75"/>
        <v>0</v>
      </c>
      <c r="H136" s="92">
        <f t="shared" si="75"/>
        <v>0</v>
      </c>
      <c r="I136" s="92">
        <f t="shared" si="75"/>
        <v>0</v>
      </c>
      <c r="J136" s="92">
        <f t="shared" si="75"/>
        <v>0</v>
      </c>
      <c r="K136" s="92">
        <f t="shared" si="75"/>
        <v>0</v>
      </c>
      <c r="L136" s="92">
        <f t="shared" si="75"/>
        <v>0</v>
      </c>
      <c r="M136" s="92">
        <f t="shared" si="75"/>
        <v>0</v>
      </c>
      <c r="N136" s="92">
        <f t="shared" si="75"/>
        <v>0</v>
      </c>
      <c r="O136" s="92">
        <f t="shared" si="75"/>
        <v>0</v>
      </c>
      <c r="P136" s="92">
        <f t="shared" si="75"/>
        <v>0</v>
      </c>
      <c r="Q136" s="92">
        <f t="shared" si="75"/>
        <v>0</v>
      </c>
      <c r="R136" s="92">
        <f t="shared" si="75"/>
        <v>0</v>
      </c>
      <c r="S136" s="92">
        <f t="shared" si="75"/>
        <v>10.600000000000001</v>
      </c>
      <c r="T136" s="92">
        <f t="shared" si="75"/>
        <v>0</v>
      </c>
      <c r="U136" s="92">
        <f t="shared" si="75"/>
        <v>0</v>
      </c>
    </row>
    <row r="137" spans="1:21" s="42" customFormat="1" ht="24.95" customHeight="1" outlineLevel="1" x14ac:dyDescent="0.2">
      <c r="A137" s="104" t="s">
        <v>308</v>
      </c>
      <c r="B137" s="43" t="s">
        <v>200</v>
      </c>
      <c r="C137" s="92">
        <f t="shared" ref="C137:U137" si="76">SUM(C138:C140)</f>
        <v>10.600000000000001</v>
      </c>
      <c r="D137" s="92">
        <f t="shared" si="76"/>
        <v>10.600000000000001</v>
      </c>
      <c r="E137" s="92">
        <f t="shared" si="76"/>
        <v>0</v>
      </c>
      <c r="F137" s="92">
        <f t="shared" si="76"/>
        <v>0</v>
      </c>
      <c r="G137" s="92">
        <f t="shared" si="76"/>
        <v>0</v>
      </c>
      <c r="H137" s="92">
        <f t="shared" si="76"/>
        <v>0</v>
      </c>
      <c r="I137" s="92">
        <f t="shared" si="76"/>
        <v>0</v>
      </c>
      <c r="J137" s="92">
        <f t="shared" si="76"/>
        <v>0</v>
      </c>
      <c r="K137" s="92">
        <f t="shared" si="76"/>
        <v>0</v>
      </c>
      <c r="L137" s="92">
        <f t="shared" si="76"/>
        <v>0</v>
      </c>
      <c r="M137" s="92">
        <f t="shared" si="76"/>
        <v>0</v>
      </c>
      <c r="N137" s="92">
        <f t="shared" si="76"/>
        <v>0</v>
      </c>
      <c r="O137" s="92">
        <f t="shared" si="76"/>
        <v>0</v>
      </c>
      <c r="P137" s="92">
        <f t="shared" si="76"/>
        <v>0</v>
      </c>
      <c r="Q137" s="92">
        <f t="shared" si="76"/>
        <v>0</v>
      </c>
      <c r="R137" s="92">
        <f t="shared" si="76"/>
        <v>0</v>
      </c>
      <c r="S137" s="92">
        <f t="shared" si="76"/>
        <v>10.600000000000001</v>
      </c>
      <c r="T137" s="92">
        <f t="shared" si="76"/>
        <v>0</v>
      </c>
      <c r="U137" s="92">
        <f t="shared" si="76"/>
        <v>0</v>
      </c>
    </row>
    <row r="138" spans="1:21" ht="12.95" customHeight="1" outlineLevel="2" x14ac:dyDescent="0.2">
      <c r="A138" s="108" t="s">
        <v>309</v>
      </c>
      <c r="B138" s="46" t="s">
        <v>304</v>
      </c>
      <c r="C138" s="93">
        <f>D138+F138</f>
        <v>3.3</v>
      </c>
      <c r="D138" s="94">
        <f t="shared" ref="D138:F140" si="77">G138+J138+M138+P138+S138</f>
        <v>3.3</v>
      </c>
      <c r="E138" s="94">
        <f t="shared" si="77"/>
        <v>0</v>
      </c>
      <c r="F138" s="94">
        <f t="shared" si="77"/>
        <v>0</v>
      </c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>
        <f>ROUND([5]Suvestine!$L$7/1000,1)</f>
        <v>3.3</v>
      </c>
      <c r="T138" s="95"/>
      <c r="U138" s="95"/>
    </row>
    <row r="139" spans="1:21" ht="25.5" outlineLevel="2" x14ac:dyDescent="0.2">
      <c r="A139" s="108" t="s">
        <v>310</v>
      </c>
      <c r="B139" s="46" t="s">
        <v>306</v>
      </c>
      <c r="C139" s="93">
        <f>D139+F139</f>
        <v>6</v>
      </c>
      <c r="D139" s="94">
        <f t="shared" si="77"/>
        <v>6</v>
      </c>
      <c r="E139" s="94">
        <f t="shared" si="77"/>
        <v>0</v>
      </c>
      <c r="F139" s="94">
        <f t="shared" si="77"/>
        <v>0</v>
      </c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>
        <f>ROUND([5]Suvestine!$G$7/1000,1)</f>
        <v>6</v>
      </c>
      <c r="T139" s="95"/>
      <c r="U139" s="95"/>
    </row>
    <row r="140" spans="1:21" ht="12.95" customHeight="1" outlineLevel="2" x14ac:dyDescent="0.2">
      <c r="A140" s="108" t="s">
        <v>311</v>
      </c>
      <c r="B140" s="46" t="s">
        <v>305</v>
      </c>
      <c r="C140" s="93">
        <f>D140+F140</f>
        <v>1.3</v>
      </c>
      <c r="D140" s="94">
        <f t="shared" si="77"/>
        <v>1.3</v>
      </c>
      <c r="E140" s="94"/>
      <c r="F140" s="94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>
        <f>ROUND([5]Suvestine!$N$7/1000,1)</f>
        <v>1.3</v>
      </c>
      <c r="T140" s="95"/>
      <c r="U140" s="95"/>
    </row>
    <row r="141" spans="1:21" s="42" customFormat="1" ht="25.5" x14ac:dyDescent="0.2">
      <c r="A141" s="107" t="s">
        <v>23</v>
      </c>
      <c r="B141" s="45" t="s">
        <v>312</v>
      </c>
      <c r="C141" s="92">
        <f t="shared" ref="C141:U141" si="78">C142</f>
        <v>9.4</v>
      </c>
      <c r="D141" s="92">
        <f t="shared" si="78"/>
        <v>9.4</v>
      </c>
      <c r="E141" s="92">
        <f t="shared" si="78"/>
        <v>0</v>
      </c>
      <c r="F141" s="92">
        <f t="shared" si="78"/>
        <v>0</v>
      </c>
      <c r="G141" s="92">
        <f t="shared" si="78"/>
        <v>0</v>
      </c>
      <c r="H141" s="92">
        <f t="shared" si="78"/>
        <v>0</v>
      </c>
      <c r="I141" s="92">
        <f t="shared" si="78"/>
        <v>0</v>
      </c>
      <c r="J141" s="92">
        <f t="shared" si="78"/>
        <v>0</v>
      </c>
      <c r="K141" s="92">
        <f t="shared" si="78"/>
        <v>0</v>
      </c>
      <c r="L141" s="92">
        <f t="shared" si="78"/>
        <v>0</v>
      </c>
      <c r="M141" s="92">
        <f t="shared" si="78"/>
        <v>0</v>
      </c>
      <c r="N141" s="92">
        <f t="shared" si="78"/>
        <v>0</v>
      </c>
      <c r="O141" s="92">
        <f t="shared" si="78"/>
        <v>0</v>
      </c>
      <c r="P141" s="92">
        <f t="shared" si="78"/>
        <v>0</v>
      </c>
      <c r="Q141" s="92">
        <f t="shared" si="78"/>
        <v>0</v>
      </c>
      <c r="R141" s="92">
        <f t="shared" si="78"/>
        <v>0</v>
      </c>
      <c r="S141" s="92">
        <f t="shared" si="78"/>
        <v>9.4</v>
      </c>
      <c r="T141" s="92">
        <f t="shared" si="78"/>
        <v>0</v>
      </c>
      <c r="U141" s="92">
        <f t="shared" si="78"/>
        <v>0</v>
      </c>
    </row>
    <row r="142" spans="1:21" s="42" customFormat="1" ht="24.95" customHeight="1" outlineLevel="1" x14ac:dyDescent="0.2">
      <c r="A142" s="104" t="s">
        <v>313</v>
      </c>
      <c r="B142" s="43" t="s">
        <v>200</v>
      </c>
      <c r="C142" s="92">
        <f t="shared" ref="C142:U142" si="79">SUM(C143:C145)</f>
        <v>9.4</v>
      </c>
      <c r="D142" s="92">
        <f t="shared" si="79"/>
        <v>9.4</v>
      </c>
      <c r="E142" s="92">
        <f t="shared" si="79"/>
        <v>0</v>
      </c>
      <c r="F142" s="92">
        <f t="shared" si="79"/>
        <v>0</v>
      </c>
      <c r="G142" s="92">
        <f t="shared" si="79"/>
        <v>0</v>
      </c>
      <c r="H142" s="92">
        <f t="shared" si="79"/>
        <v>0</v>
      </c>
      <c r="I142" s="92">
        <f t="shared" si="79"/>
        <v>0</v>
      </c>
      <c r="J142" s="92">
        <f t="shared" si="79"/>
        <v>0</v>
      </c>
      <c r="K142" s="92">
        <f t="shared" si="79"/>
        <v>0</v>
      </c>
      <c r="L142" s="92">
        <f t="shared" si="79"/>
        <v>0</v>
      </c>
      <c r="M142" s="92">
        <f t="shared" si="79"/>
        <v>0</v>
      </c>
      <c r="N142" s="92">
        <f t="shared" si="79"/>
        <v>0</v>
      </c>
      <c r="O142" s="92">
        <f t="shared" si="79"/>
        <v>0</v>
      </c>
      <c r="P142" s="92">
        <f t="shared" si="79"/>
        <v>0</v>
      </c>
      <c r="Q142" s="92">
        <f t="shared" si="79"/>
        <v>0</v>
      </c>
      <c r="R142" s="92">
        <f t="shared" si="79"/>
        <v>0</v>
      </c>
      <c r="S142" s="92">
        <f t="shared" si="79"/>
        <v>9.4</v>
      </c>
      <c r="T142" s="92">
        <f t="shared" si="79"/>
        <v>0</v>
      </c>
      <c r="U142" s="92">
        <f t="shared" si="79"/>
        <v>0</v>
      </c>
    </row>
    <row r="143" spans="1:21" ht="12.95" customHeight="1" outlineLevel="2" x14ac:dyDescent="0.2">
      <c r="A143" s="108" t="s">
        <v>314</v>
      </c>
      <c r="B143" s="46" t="s">
        <v>304</v>
      </c>
      <c r="C143" s="93">
        <f>D143+F143</f>
        <v>5.9</v>
      </c>
      <c r="D143" s="94">
        <f t="shared" ref="D143:D144" si="80">G143+J143+M143+P143+S143</f>
        <v>5.9</v>
      </c>
      <c r="E143" s="94">
        <f t="shared" ref="E143:E144" si="81">H143+K143+N143+Q143+T143</f>
        <v>0</v>
      </c>
      <c r="F143" s="94">
        <f t="shared" ref="F143:F144" si="82">I143+L143+O143+R143+U143</f>
        <v>0</v>
      </c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>
        <f>ROUND([5]Suvestine!$L$8/1000,1)</f>
        <v>5.9</v>
      </c>
      <c r="T143" s="95"/>
      <c r="U143" s="95"/>
    </row>
    <row r="144" spans="1:21" ht="12.95" customHeight="1" outlineLevel="2" x14ac:dyDescent="0.2">
      <c r="A144" s="108" t="s">
        <v>315</v>
      </c>
      <c r="B144" s="46" t="s">
        <v>306</v>
      </c>
      <c r="C144" s="93">
        <f>D144+F144</f>
        <v>2.5</v>
      </c>
      <c r="D144" s="94">
        <f t="shared" si="80"/>
        <v>2.5</v>
      </c>
      <c r="E144" s="94">
        <f t="shared" si="81"/>
        <v>0</v>
      </c>
      <c r="F144" s="94">
        <f t="shared" si="82"/>
        <v>0</v>
      </c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>
        <f>ROUND([5]Suvestine!$G$8/1000,1)</f>
        <v>2.5</v>
      </c>
      <c r="T144" s="95"/>
      <c r="U144" s="95"/>
    </row>
    <row r="145" spans="1:21" ht="12.95" customHeight="1" outlineLevel="2" x14ac:dyDescent="0.2">
      <c r="A145" s="108" t="s">
        <v>316</v>
      </c>
      <c r="B145" s="46" t="s">
        <v>305</v>
      </c>
      <c r="C145" s="93">
        <f>D145+F145</f>
        <v>1</v>
      </c>
      <c r="D145" s="94">
        <f>G145+J145+M145+P145+S145</f>
        <v>1</v>
      </c>
      <c r="E145" s="94">
        <f>H145+K145+N145+Q145+T145</f>
        <v>0</v>
      </c>
      <c r="F145" s="94">
        <f>I145+L145+O145+R145+U145</f>
        <v>0</v>
      </c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>
        <f>ROUND([5]Suvestine!$N$8/1000,1)</f>
        <v>1</v>
      </c>
      <c r="T145" s="95"/>
      <c r="U145" s="95"/>
    </row>
    <row r="146" spans="1:21" s="42" customFormat="1" ht="25.5" x14ac:dyDescent="0.2">
      <c r="A146" s="107" t="s">
        <v>24</v>
      </c>
      <c r="B146" s="45" t="s">
        <v>317</v>
      </c>
      <c r="C146" s="92">
        <f t="shared" ref="C146:U146" si="83">C147</f>
        <v>5.9</v>
      </c>
      <c r="D146" s="92">
        <f t="shared" si="83"/>
        <v>5.9</v>
      </c>
      <c r="E146" s="92">
        <f t="shared" si="83"/>
        <v>0</v>
      </c>
      <c r="F146" s="92">
        <f t="shared" si="83"/>
        <v>0</v>
      </c>
      <c r="G146" s="92">
        <f t="shared" si="83"/>
        <v>0</v>
      </c>
      <c r="H146" s="92">
        <f t="shared" si="83"/>
        <v>0</v>
      </c>
      <c r="I146" s="92">
        <f t="shared" si="83"/>
        <v>0</v>
      </c>
      <c r="J146" s="92">
        <f t="shared" si="83"/>
        <v>0</v>
      </c>
      <c r="K146" s="92">
        <f t="shared" si="83"/>
        <v>0</v>
      </c>
      <c r="L146" s="92">
        <f t="shared" si="83"/>
        <v>0</v>
      </c>
      <c r="M146" s="92">
        <f t="shared" si="83"/>
        <v>0</v>
      </c>
      <c r="N146" s="92">
        <f t="shared" si="83"/>
        <v>0</v>
      </c>
      <c r="O146" s="92">
        <f t="shared" si="83"/>
        <v>0</v>
      </c>
      <c r="P146" s="92">
        <f t="shared" si="83"/>
        <v>0</v>
      </c>
      <c r="Q146" s="92">
        <f t="shared" si="83"/>
        <v>0</v>
      </c>
      <c r="R146" s="92">
        <f t="shared" si="83"/>
        <v>0</v>
      </c>
      <c r="S146" s="92">
        <f t="shared" si="83"/>
        <v>5.9</v>
      </c>
      <c r="T146" s="92">
        <f t="shared" si="83"/>
        <v>0</v>
      </c>
      <c r="U146" s="92">
        <f t="shared" si="83"/>
        <v>0</v>
      </c>
    </row>
    <row r="147" spans="1:21" s="42" customFormat="1" ht="24.95" customHeight="1" outlineLevel="1" x14ac:dyDescent="0.2">
      <c r="A147" s="104" t="s">
        <v>318</v>
      </c>
      <c r="B147" s="43" t="s">
        <v>200</v>
      </c>
      <c r="C147" s="92">
        <f t="shared" ref="C147:U147" si="84">SUM(C148:C150)</f>
        <v>5.9</v>
      </c>
      <c r="D147" s="92">
        <f t="shared" si="84"/>
        <v>5.9</v>
      </c>
      <c r="E147" s="92">
        <f t="shared" si="84"/>
        <v>0</v>
      </c>
      <c r="F147" s="92">
        <f t="shared" si="84"/>
        <v>0</v>
      </c>
      <c r="G147" s="92">
        <f t="shared" si="84"/>
        <v>0</v>
      </c>
      <c r="H147" s="92">
        <f t="shared" si="84"/>
        <v>0</v>
      </c>
      <c r="I147" s="92">
        <f t="shared" si="84"/>
        <v>0</v>
      </c>
      <c r="J147" s="92">
        <f t="shared" si="84"/>
        <v>0</v>
      </c>
      <c r="K147" s="92">
        <f t="shared" si="84"/>
        <v>0</v>
      </c>
      <c r="L147" s="92">
        <f t="shared" si="84"/>
        <v>0</v>
      </c>
      <c r="M147" s="92">
        <f t="shared" si="84"/>
        <v>0</v>
      </c>
      <c r="N147" s="92">
        <f t="shared" si="84"/>
        <v>0</v>
      </c>
      <c r="O147" s="92">
        <f t="shared" si="84"/>
        <v>0</v>
      </c>
      <c r="P147" s="92">
        <f t="shared" si="84"/>
        <v>0</v>
      </c>
      <c r="Q147" s="92">
        <f t="shared" si="84"/>
        <v>0</v>
      </c>
      <c r="R147" s="92">
        <f t="shared" si="84"/>
        <v>0</v>
      </c>
      <c r="S147" s="92">
        <f t="shared" si="84"/>
        <v>5.9</v>
      </c>
      <c r="T147" s="92">
        <f t="shared" si="84"/>
        <v>0</v>
      </c>
      <c r="U147" s="92">
        <f t="shared" si="84"/>
        <v>0</v>
      </c>
    </row>
    <row r="148" spans="1:21" ht="12.95" customHeight="1" outlineLevel="2" x14ac:dyDescent="0.2">
      <c r="A148" s="108" t="s">
        <v>319</v>
      </c>
      <c r="B148" s="46" t="s">
        <v>304</v>
      </c>
      <c r="C148" s="93">
        <f>D148+F148</f>
        <v>2.2000000000000002</v>
      </c>
      <c r="D148" s="94">
        <f t="shared" ref="D148:F150" si="85">G148+J148+M148+P148+S148</f>
        <v>2.2000000000000002</v>
      </c>
      <c r="E148" s="94">
        <f t="shared" si="85"/>
        <v>0</v>
      </c>
      <c r="F148" s="94">
        <f t="shared" si="85"/>
        <v>0</v>
      </c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>
        <f>ROUND([5]Suvestine!$L$9/1000,1)</f>
        <v>2.2000000000000002</v>
      </c>
      <c r="T148" s="95"/>
      <c r="U148" s="95"/>
    </row>
    <row r="149" spans="1:21" ht="12.95" customHeight="1" outlineLevel="2" x14ac:dyDescent="0.2">
      <c r="A149" s="108" t="s">
        <v>320</v>
      </c>
      <c r="B149" s="46" t="s">
        <v>306</v>
      </c>
      <c r="C149" s="93">
        <f>D149+F149</f>
        <v>2.7</v>
      </c>
      <c r="D149" s="94">
        <f t="shared" si="85"/>
        <v>2.7</v>
      </c>
      <c r="E149" s="94">
        <f t="shared" si="85"/>
        <v>0</v>
      </c>
      <c r="F149" s="94">
        <f t="shared" si="85"/>
        <v>0</v>
      </c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>
        <f>ROUND([5]Suvestine!$G$9/1000,1)</f>
        <v>2.7</v>
      </c>
      <c r="T149" s="95"/>
      <c r="U149" s="95"/>
    </row>
    <row r="150" spans="1:21" ht="12.95" customHeight="1" outlineLevel="2" x14ac:dyDescent="0.2">
      <c r="A150" s="108" t="s">
        <v>500</v>
      </c>
      <c r="B150" s="46" t="s">
        <v>305</v>
      </c>
      <c r="C150" s="93">
        <f>D150+F150</f>
        <v>1</v>
      </c>
      <c r="D150" s="94">
        <f t="shared" si="85"/>
        <v>1</v>
      </c>
      <c r="E150" s="94">
        <f t="shared" si="85"/>
        <v>0</v>
      </c>
      <c r="F150" s="94">
        <f t="shared" si="85"/>
        <v>0</v>
      </c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>
        <f>ROUND([5]Suvestine!$N$9/1000,1)</f>
        <v>1</v>
      </c>
      <c r="T150" s="95"/>
      <c r="U150" s="95"/>
    </row>
    <row r="151" spans="1:21" s="42" customFormat="1" ht="25.5" x14ac:dyDescent="0.2">
      <c r="A151" s="107" t="s">
        <v>26</v>
      </c>
      <c r="B151" s="45" t="s">
        <v>321</v>
      </c>
      <c r="C151" s="92">
        <f t="shared" ref="C151:U151" si="86">C152</f>
        <v>78.900000000000006</v>
      </c>
      <c r="D151" s="92">
        <f t="shared" si="86"/>
        <v>78.900000000000006</v>
      </c>
      <c r="E151" s="92">
        <f t="shared" si="86"/>
        <v>0</v>
      </c>
      <c r="F151" s="92">
        <f t="shared" si="86"/>
        <v>0</v>
      </c>
      <c r="G151" s="92">
        <f t="shared" si="86"/>
        <v>0</v>
      </c>
      <c r="H151" s="92">
        <f t="shared" si="86"/>
        <v>0</v>
      </c>
      <c r="I151" s="92">
        <f t="shared" si="86"/>
        <v>0</v>
      </c>
      <c r="J151" s="92">
        <f t="shared" si="86"/>
        <v>0</v>
      </c>
      <c r="K151" s="92">
        <f t="shared" si="86"/>
        <v>0</v>
      </c>
      <c r="L151" s="92">
        <f t="shared" si="86"/>
        <v>0</v>
      </c>
      <c r="M151" s="92">
        <f t="shared" si="86"/>
        <v>0</v>
      </c>
      <c r="N151" s="92">
        <f t="shared" si="86"/>
        <v>0</v>
      </c>
      <c r="O151" s="92">
        <f t="shared" si="86"/>
        <v>0</v>
      </c>
      <c r="P151" s="92">
        <f t="shared" si="86"/>
        <v>0</v>
      </c>
      <c r="Q151" s="92">
        <f t="shared" si="86"/>
        <v>0</v>
      </c>
      <c r="R151" s="92">
        <f t="shared" si="86"/>
        <v>0</v>
      </c>
      <c r="S151" s="92">
        <f t="shared" si="86"/>
        <v>78.900000000000006</v>
      </c>
      <c r="T151" s="92">
        <f t="shared" si="86"/>
        <v>0</v>
      </c>
      <c r="U151" s="92">
        <f t="shared" si="86"/>
        <v>0</v>
      </c>
    </row>
    <row r="152" spans="1:21" s="42" customFormat="1" ht="24.95" customHeight="1" outlineLevel="1" x14ac:dyDescent="0.2">
      <c r="A152" s="104" t="s">
        <v>27</v>
      </c>
      <c r="B152" s="43" t="s">
        <v>200</v>
      </c>
      <c r="C152" s="92">
        <f t="shared" ref="C152:U152" si="87">SUM(C153:C154)</f>
        <v>78.900000000000006</v>
      </c>
      <c r="D152" s="92">
        <f t="shared" si="87"/>
        <v>78.900000000000006</v>
      </c>
      <c r="E152" s="92">
        <f t="shared" si="87"/>
        <v>0</v>
      </c>
      <c r="F152" s="92">
        <f t="shared" si="87"/>
        <v>0</v>
      </c>
      <c r="G152" s="92">
        <f t="shared" si="87"/>
        <v>0</v>
      </c>
      <c r="H152" s="92">
        <f t="shared" si="87"/>
        <v>0</v>
      </c>
      <c r="I152" s="92">
        <f t="shared" si="87"/>
        <v>0</v>
      </c>
      <c r="J152" s="92">
        <f t="shared" si="87"/>
        <v>0</v>
      </c>
      <c r="K152" s="92">
        <f t="shared" si="87"/>
        <v>0</v>
      </c>
      <c r="L152" s="92">
        <f t="shared" si="87"/>
        <v>0</v>
      </c>
      <c r="M152" s="92">
        <f t="shared" si="87"/>
        <v>0</v>
      </c>
      <c r="N152" s="92">
        <f t="shared" si="87"/>
        <v>0</v>
      </c>
      <c r="O152" s="92">
        <f t="shared" si="87"/>
        <v>0</v>
      </c>
      <c r="P152" s="92">
        <f t="shared" si="87"/>
        <v>0</v>
      </c>
      <c r="Q152" s="92">
        <f t="shared" si="87"/>
        <v>0</v>
      </c>
      <c r="R152" s="92">
        <f t="shared" si="87"/>
        <v>0</v>
      </c>
      <c r="S152" s="92">
        <f t="shared" si="87"/>
        <v>78.900000000000006</v>
      </c>
      <c r="T152" s="92">
        <f t="shared" si="87"/>
        <v>0</v>
      </c>
      <c r="U152" s="92">
        <f t="shared" si="87"/>
        <v>0</v>
      </c>
    </row>
    <row r="153" spans="1:21" ht="12.95" customHeight="1" outlineLevel="2" x14ac:dyDescent="0.2">
      <c r="A153" s="108" t="s">
        <v>322</v>
      </c>
      <c r="B153" s="46" t="s">
        <v>304</v>
      </c>
      <c r="C153" s="93">
        <f>D153+F153</f>
        <v>38.9</v>
      </c>
      <c r="D153" s="94">
        <f t="shared" ref="D153:F154" si="88">G153+J153+M153+P153+S153</f>
        <v>38.9</v>
      </c>
      <c r="E153" s="94">
        <f t="shared" si="88"/>
        <v>0</v>
      </c>
      <c r="F153" s="94">
        <f t="shared" si="88"/>
        <v>0</v>
      </c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>
        <f>ROUND([5]Suvestine!$L$10/1000,1)</f>
        <v>38.9</v>
      </c>
      <c r="T153" s="95"/>
      <c r="U153" s="95"/>
    </row>
    <row r="154" spans="1:21" ht="12.95" customHeight="1" outlineLevel="2" x14ac:dyDescent="0.2">
      <c r="A154" s="108" t="s">
        <v>323</v>
      </c>
      <c r="B154" s="46" t="s">
        <v>306</v>
      </c>
      <c r="C154" s="93">
        <f>D154+F154</f>
        <v>40</v>
      </c>
      <c r="D154" s="94">
        <f t="shared" si="88"/>
        <v>40</v>
      </c>
      <c r="E154" s="94">
        <f t="shared" si="88"/>
        <v>0</v>
      </c>
      <c r="F154" s="94">
        <f t="shared" si="88"/>
        <v>0</v>
      </c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>
        <f>ROUND([5]Suvestine!$G$10/1000,1)</f>
        <v>40</v>
      </c>
      <c r="T154" s="95"/>
      <c r="U154" s="95"/>
    </row>
    <row r="155" spans="1:21" s="42" customFormat="1" ht="25.5" x14ac:dyDescent="0.2">
      <c r="A155" s="107" t="s">
        <v>31</v>
      </c>
      <c r="B155" s="45" t="s">
        <v>324</v>
      </c>
      <c r="C155" s="92">
        <f t="shared" ref="C155:U155" si="89">C156</f>
        <v>17.5</v>
      </c>
      <c r="D155" s="92">
        <f t="shared" si="89"/>
        <v>14.7</v>
      </c>
      <c r="E155" s="92">
        <f t="shared" si="89"/>
        <v>0</v>
      </c>
      <c r="F155" s="92">
        <f t="shared" si="89"/>
        <v>2.8</v>
      </c>
      <c r="G155" s="92">
        <f t="shared" si="89"/>
        <v>0</v>
      </c>
      <c r="H155" s="92">
        <f t="shared" si="89"/>
        <v>0</v>
      </c>
      <c r="I155" s="92">
        <f t="shared" si="89"/>
        <v>0</v>
      </c>
      <c r="J155" s="92">
        <f t="shared" si="89"/>
        <v>0</v>
      </c>
      <c r="K155" s="92">
        <f t="shared" si="89"/>
        <v>0</v>
      </c>
      <c r="L155" s="92">
        <f t="shared" si="89"/>
        <v>0</v>
      </c>
      <c r="M155" s="92">
        <f t="shared" si="89"/>
        <v>0</v>
      </c>
      <c r="N155" s="92">
        <f t="shared" si="89"/>
        <v>0</v>
      </c>
      <c r="O155" s="92">
        <f t="shared" si="89"/>
        <v>0</v>
      </c>
      <c r="P155" s="92">
        <f t="shared" si="89"/>
        <v>0</v>
      </c>
      <c r="Q155" s="92">
        <f t="shared" si="89"/>
        <v>0</v>
      </c>
      <c r="R155" s="92">
        <f t="shared" si="89"/>
        <v>0</v>
      </c>
      <c r="S155" s="92">
        <f t="shared" si="89"/>
        <v>14.7</v>
      </c>
      <c r="T155" s="92">
        <f t="shared" si="89"/>
        <v>0</v>
      </c>
      <c r="U155" s="92">
        <f t="shared" si="89"/>
        <v>2.8</v>
      </c>
    </row>
    <row r="156" spans="1:21" s="42" customFormat="1" ht="24.95" customHeight="1" outlineLevel="1" x14ac:dyDescent="0.2">
      <c r="A156" s="104" t="s">
        <v>33</v>
      </c>
      <c r="B156" s="43" t="s">
        <v>200</v>
      </c>
      <c r="C156" s="92">
        <f t="shared" ref="C156:U156" si="90">SUM(C157:C159)</f>
        <v>17.5</v>
      </c>
      <c r="D156" s="92">
        <f t="shared" si="90"/>
        <v>14.7</v>
      </c>
      <c r="E156" s="92">
        <f t="shared" si="90"/>
        <v>0</v>
      </c>
      <c r="F156" s="92">
        <f t="shared" si="90"/>
        <v>2.8</v>
      </c>
      <c r="G156" s="92">
        <f t="shared" si="90"/>
        <v>0</v>
      </c>
      <c r="H156" s="92">
        <f t="shared" si="90"/>
        <v>0</v>
      </c>
      <c r="I156" s="92">
        <f t="shared" si="90"/>
        <v>0</v>
      </c>
      <c r="J156" s="92">
        <f t="shared" si="90"/>
        <v>0</v>
      </c>
      <c r="K156" s="92">
        <f t="shared" si="90"/>
        <v>0</v>
      </c>
      <c r="L156" s="92">
        <f t="shared" si="90"/>
        <v>0</v>
      </c>
      <c r="M156" s="92">
        <f t="shared" si="90"/>
        <v>0</v>
      </c>
      <c r="N156" s="92">
        <f t="shared" si="90"/>
        <v>0</v>
      </c>
      <c r="O156" s="92">
        <f t="shared" si="90"/>
        <v>0</v>
      </c>
      <c r="P156" s="92">
        <f t="shared" si="90"/>
        <v>0</v>
      </c>
      <c r="Q156" s="92">
        <f t="shared" si="90"/>
        <v>0</v>
      </c>
      <c r="R156" s="92">
        <f t="shared" si="90"/>
        <v>0</v>
      </c>
      <c r="S156" s="92">
        <f t="shared" si="90"/>
        <v>14.7</v>
      </c>
      <c r="T156" s="92">
        <f t="shared" si="90"/>
        <v>0</v>
      </c>
      <c r="U156" s="92">
        <f t="shared" si="90"/>
        <v>2.8</v>
      </c>
    </row>
    <row r="157" spans="1:21" ht="12.95" customHeight="1" outlineLevel="2" x14ac:dyDescent="0.2">
      <c r="A157" s="108" t="s">
        <v>325</v>
      </c>
      <c r="B157" s="46" t="s">
        <v>304</v>
      </c>
      <c r="C157" s="93">
        <f>D157+F157</f>
        <v>5.0999999999999996</v>
      </c>
      <c r="D157" s="94">
        <f t="shared" ref="D157:F159" si="91">G157+J157+M157+P157+S157</f>
        <v>5.0999999999999996</v>
      </c>
      <c r="E157" s="94">
        <f t="shared" si="91"/>
        <v>0</v>
      </c>
      <c r="F157" s="94">
        <f t="shared" si="91"/>
        <v>0</v>
      </c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>
        <f>ROUND([5]Suvestine!$L$11/1000,1)</f>
        <v>5.0999999999999996</v>
      </c>
      <c r="T157" s="95"/>
      <c r="U157" s="95"/>
    </row>
    <row r="158" spans="1:21" ht="12.95" customHeight="1" outlineLevel="2" x14ac:dyDescent="0.2">
      <c r="A158" s="108" t="s">
        <v>326</v>
      </c>
      <c r="B158" s="46" t="s">
        <v>306</v>
      </c>
      <c r="C158" s="93">
        <f>D158+F158</f>
        <v>10.199999999999999</v>
      </c>
      <c r="D158" s="94">
        <f t="shared" si="91"/>
        <v>7.4</v>
      </c>
      <c r="E158" s="94">
        <f t="shared" si="91"/>
        <v>0</v>
      </c>
      <c r="F158" s="94">
        <f t="shared" si="91"/>
        <v>2.8</v>
      </c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>
        <f>ROUND([5]Suvestine!$G$11/1000,1)</f>
        <v>7.4</v>
      </c>
      <c r="T158" s="95"/>
      <c r="U158" s="95">
        <f>ROUND('[3]2017-06-28'!$F$150/1000,1)</f>
        <v>2.8</v>
      </c>
    </row>
    <row r="159" spans="1:21" ht="12.95" customHeight="1" outlineLevel="2" x14ac:dyDescent="0.2">
      <c r="A159" s="108" t="s">
        <v>327</v>
      </c>
      <c r="B159" s="46" t="s">
        <v>305</v>
      </c>
      <c r="C159" s="93">
        <f>D159+F159</f>
        <v>2.2000000000000002</v>
      </c>
      <c r="D159" s="94">
        <f t="shared" si="91"/>
        <v>2.2000000000000002</v>
      </c>
      <c r="E159" s="94">
        <f t="shared" si="91"/>
        <v>0</v>
      </c>
      <c r="F159" s="94">
        <f t="shared" si="91"/>
        <v>0</v>
      </c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>
        <f>ROUND([5]Suvestine!$N$11/1000,1)</f>
        <v>2.2000000000000002</v>
      </c>
      <c r="T159" s="95"/>
      <c r="U159" s="95"/>
    </row>
    <row r="160" spans="1:21" s="42" customFormat="1" ht="25.5" x14ac:dyDescent="0.2">
      <c r="A160" s="107" t="s">
        <v>105</v>
      </c>
      <c r="B160" s="45" t="s">
        <v>328</v>
      </c>
      <c r="C160" s="92">
        <f t="shared" ref="C160:U160" si="92">C161</f>
        <v>5.1999999999999993</v>
      </c>
      <c r="D160" s="92">
        <f t="shared" si="92"/>
        <v>5.1999999999999993</v>
      </c>
      <c r="E160" s="92">
        <f t="shared" si="92"/>
        <v>0</v>
      </c>
      <c r="F160" s="92">
        <f t="shared" si="92"/>
        <v>0</v>
      </c>
      <c r="G160" s="92">
        <f t="shared" si="92"/>
        <v>0</v>
      </c>
      <c r="H160" s="92">
        <f t="shared" si="92"/>
        <v>0</v>
      </c>
      <c r="I160" s="92">
        <f t="shared" si="92"/>
        <v>0</v>
      </c>
      <c r="J160" s="92">
        <f t="shared" si="92"/>
        <v>0</v>
      </c>
      <c r="K160" s="92">
        <f t="shared" si="92"/>
        <v>0</v>
      </c>
      <c r="L160" s="92">
        <f t="shared" si="92"/>
        <v>0</v>
      </c>
      <c r="M160" s="92">
        <f t="shared" si="92"/>
        <v>0</v>
      </c>
      <c r="N160" s="92">
        <f t="shared" si="92"/>
        <v>0</v>
      </c>
      <c r="O160" s="92">
        <f t="shared" si="92"/>
        <v>0</v>
      </c>
      <c r="P160" s="92">
        <f t="shared" si="92"/>
        <v>0</v>
      </c>
      <c r="Q160" s="92">
        <f t="shared" si="92"/>
        <v>0</v>
      </c>
      <c r="R160" s="92">
        <f t="shared" si="92"/>
        <v>0</v>
      </c>
      <c r="S160" s="92">
        <f t="shared" si="92"/>
        <v>5.1999999999999993</v>
      </c>
      <c r="T160" s="92">
        <f t="shared" si="92"/>
        <v>0</v>
      </c>
      <c r="U160" s="92">
        <f t="shared" si="92"/>
        <v>0</v>
      </c>
    </row>
    <row r="161" spans="1:21" s="42" customFormat="1" ht="24.95" customHeight="1" outlineLevel="1" x14ac:dyDescent="0.2">
      <c r="A161" s="104" t="s">
        <v>106</v>
      </c>
      <c r="B161" s="43" t="s">
        <v>200</v>
      </c>
      <c r="C161" s="92">
        <f t="shared" ref="C161:U161" si="93">SUM(C162:C164)</f>
        <v>5.1999999999999993</v>
      </c>
      <c r="D161" s="92">
        <f t="shared" si="93"/>
        <v>5.1999999999999993</v>
      </c>
      <c r="E161" s="92">
        <f t="shared" si="93"/>
        <v>0</v>
      </c>
      <c r="F161" s="92">
        <f t="shared" si="93"/>
        <v>0</v>
      </c>
      <c r="G161" s="92">
        <f t="shared" si="93"/>
        <v>0</v>
      </c>
      <c r="H161" s="92">
        <f t="shared" si="93"/>
        <v>0</v>
      </c>
      <c r="I161" s="92">
        <f t="shared" si="93"/>
        <v>0</v>
      </c>
      <c r="J161" s="92">
        <f t="shared" si="93"/>
        <v>0</v>
      </c>
      <c r="K161" s="92">
        <f t="shared" si="93"/>
        <v>0</v>
      </c>
      <c r="L161" s="92">
        <f t="shared" si="93"/>
        <v>0</v>
      </c>
      <c r="M161" s="92">
        <f t="shared" si="93"/>
        <v>0</v>
      </c>
      <c r="N161" s="92">
        <f t="shared" si="93"/>
        <v>0</v>
      </c>
      <c r="O161" s="92">
        <f t="shared" si="93"/>
        <v>0</v>
      </c>
      <c r="P161" s="92">
        <f t="shared" si="93"/>
        <v>0</v>
      </c>
      <c r="Q161" s="92">
        <f t="shared" si="93"/>
        <v>0</v>
      </c>
      <c r="R161" s="92">
        <f t="shared" si="93"/>
        <v>0</v>
      </c>
      <c r="S161" s="92">
        <f t="shared" si="93"/>
        <v>5.1999999999999993</v>
      </c>
      <c r="T161" s="92">
        <f t="shared" si="93"/>
        <v>0</v>
      </c>
      <c r="U161" s="92">
        <f t="shared" si="93"/>
        <v>0</v>
      </c>
    </row>
    <row r="162" spans="1:21" ht="12.95" customHeight="1" outlineLevel="2" x14ac:dyDescent="0.2">
      <c r="A162" s="108" t="s">
        <v>329</v>
      </c>
      <c r="B162" s="46" t="s">
        <v>304</v>
      </c>
      <c r="C162" s="93">
        <f>D162+F162</f>
        <v>1.3</v>
      </c>
      <c r="D162" s="94">
        <f t="shared" ref="D162:F164" si="94">G162+J162+M162+P162+S162</f>
        <v>1.3</v>
      </c>
      <c r="E162" s="94">
        <f t="shared" si="94"/>
        <v>0</v>
      </c>
      <c r="F162" s="94">
        <f t="shared" si="94"/>
        <v>0</v>
      </c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>
        <f>ROUND([5]Suvestine!$L$12/1000,1)</f>
        <v>1.3</v>
      </c>
      <c r="T162" s="95"/>
      <c r="U162" s="95"/>
    </row>
    <row r="163" spans="1:21" ht="12.95" customHeight="1" outlineLevel="2" x14ac:dyDescent="0.2">
      <c r="A163" s="108" t="s">
        <v>330</v>
      </c>
      <c r="B163" s="46" t="s">
        <v>306</v>
      </c>
      <c r="C163" s="93">
        <f>D163+F163</f>
        <v>2.2999999999999998</v>
      </c>
      <c r="D163" s="94">
        <f t="shared" si="94"/>
        <v>2.2999999999999998</v>
      </c>
      <c r="E163" s="94">
        <f t="shared" si="94"/>
        <v>0</v>
      </c>
      <c r="F163" s="94">
        <f t="shared" si="94"/>
        <v>0</v>
      </c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>
        <f>ROUND([5]Suvestine!$G$12/1000,1)</f>
        <v>2.2999999999999998</v>
      </c>
      <c r="T163" s="95"/>
      <c r="U163" s="95"/>
    </row>
    <row r="164" spans="1:21" ht="12.95" customHeight="1" outlineLevel="2" x14ac:dyDescent="0.2">
      <c r="A164" s="108" t="s">
        <v>331</v>
      </c>
      <c r="B164" s="46" t="s">
        <v>305</v>
      </c>
      <c r="C164" s="93">
        <f>D164+F164</f>
        <v>1.6</v>
      </c>
      <c r="D164" s="94">
        <f t="shared" si="94"/>
        <v>1.6</v>
      </c>
      <c r="E164" s="94">
        <f t="shared" si="94"/>
        <v>0</v>
      </c>
      <c r="F164" s="94">
        <f t="shared" si="94"/>
        <v>0</v>
      </c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>
        <f>ROUND([5]Suvestine!$N$12/1000,1)</f>
        <v>1.6</v>
      </c>
      <c r="T164" s="95"/>
      <c r="U164" s="95"/>
    </row>
    <row r="165" spans="1:21" s="42" customFormat="1" ht="25.5" x14ac:dyDescent="0.2">
      <c r="A165" s="107" t="s">
        <v>332</v>
      </c>
      <c r="B165" s="45" t="s">
        <v>333</v>
      </c>
      <c r="C165" s="92">
        <f t="shared" ref="C165:U165" si="95">C166</f>
        <v>17.3</v>
      </c>
      <c r="D165" s="92">
        <f t="shared" si="95"/>
        <v>17.3</v>
      </c>
      <c r="E165" s="92">
        <f t="shared" si="95"/>
        <v>0</v>
      </c>
      <c r="F165" s="92">
        <f t="shared" si="95"/>
        <v>0</v>
      </c>
      <c r="G165" s="92">
        <f t="shared" si="95"/>
        <v>0</v>
      </c>
      <c r="H165" s="92">
        <f t="shared" si="95"/>
        <v>0</v>
      </c>
      <c r="I165" s="92">
        <f t="shared" si="95"/>
        <v>0</v>
      </c>
      <c r="J165" s="92">
        <f t="shared" si="95"/>
        <v>0</v>
      </c>
      <c r="K165" s="92">
        <f t="shared" si="95"/>
        <v>0</v>
      </c>
      <c r="L165" s="92">
        <f t="shared" si="95"/>
        <v>0</v>
      </c>
      <c r="M165" s="92">
        <f t="shared" si="95"/>
        <v>0</v>
      </c>
      <c r="N165" s="92">
        <f t="shared" si="95"/>
        <v>0</v>
      </c>
      <c r="O165" s="92">
        <f t="shared" si="95"/>
        <v>0</v>
      </c>
      <c r="P165" s="92">
        <f t="shared" si="95"/>
        <v>0</v>
      </c>
      <c r="Q165" s="92">
        <f t="shared" si="95"/>
        <v>0</v>
      </c>
      <c r="R165" s="92">
        <f t="shared" si="95"/>
        <v>0</v>
      </c>
      <c r="S165" s="92">
        <f t="shared" si="95"/>
        <v>17.3</v>
      </c>
      <c r="T165" s="92">
        <f t="shared" si="95"/>
        <v>0</v>
      </c>
      <c r="U165" s="92">
        <f t="shared" si="95"/>
        <v>0</v>
      </c>
    </row>
    <row r="166" spans="1:21" s="42" customFormat="1" ht="24.95" customHeight="1" outlineLevel="1" x14ac:dyDescent="0.2">
      <c r="A166" s="104" t="s">
        <v>334</v>
      </c>
      <c r="B166" s="43" t="s">
        <v>200</v>
      </c>
      <c r="C166" s="92">
        <f t="shared" ref="C166:U166" si="96">SUM(C167:C169)</f>
        <v>17.3</v>
      </c>
      <c r="D166" s="92">
        <f t="shared" si="96"/>
        <v>17.3</v>
      </c>
      <c r="E166" s="92">
        <f t="shared" si="96"/>
        <v>0</v>
      </c>
      <c r="F166" s="92">
        <f t="shared" si="96"/>
        <v>0</v>
      </c>
      <c r="G166" s="92">
        <f t="shared" si="96"/>
        <v>0</v>
      </c>
      <c r="H166" s="92">
        <f t="shared" si="96"/>
        <v>0</v>
      </c>
      <c r="I166" s="92">
        <f t="shared" si="96"/>
        <v>0</v>
      </c>
      <c r="J166" s="92">
        <f t="shared" si="96"/>
        <v>0</v>
      </c>
      <c r="K166" s="92">
        <f t="shared" si="96"/>
        <v>0</v>
      </c>
      <c r="L166" s="92">
        <f t="shared" si="96"/>
        <v>0</v>
      </c>
      <c r="M166" s="92">
        <f t="shared" si="96"/>
        <v>0</v>
      </c>
      <c r="N166" s="92">
        <f t="shared" si="96"/>
        <v>0</v>
      </c>
      <c r="O166" s="92">
        <f t="shared" si="96"/>
        <v>0</v>
      </c>
      <c r="P166" s="92">
        <f t="shared" si="96"/>
        <v>0</v>
      </c>
      <c r="Q166" s="92">
        <f t="shared" si="96"/>
        <v>0</v>
      </c>
      <c r="R166" s="92">
        <f t="shared" si="96"/>
        <v>0</v>
      </c>
      <c r="S166" s="92">
        <f t="shared" si="96"/>
        <v>17.3</v>
      </c>
      <c r="T166" s="92">
        <f t="shared" si="96"/>
        <v>0</v>
      </c>
      <c r="U166" s="92">
        <f t="shared" si="96"/>
        <v>0</v>
      </c>
    </row>
    <row r="167" spans="1:21" ht="12.95" customHeight="1" outlineLevel="2" x14ac:dyDescent="0.2">
      <c r="A167" s="108" t="s">
        <v>335</v>
      </c>
      <c r="B167" s="46" t="s">
        <v>304</v>
      </c>
      <c r="C167" s="93">
        <f>D167+F167</f>
        <v>7.6</v>
      </c>
      <c r="D167" s="94">
        <f>G167+J167+M167+P167+S167</f>
        <v>7.6</v>
      </c>
      <c r="E167" s="94">
        <f>H167+K167+N167+Q167+T167</f>
        <v>0</v>
      </c>
      <c r="F167" s="94">
        <f>I167+L167+O167+R167+U167</f>
        <v>0</v>
      </c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>
        <f>ROUND([5]Suvestine!$L$13/1000,1)</f>
        <v>7.6</v>
      </c>
      <c r="T167" s="95"/>
      <c r="U167" s="95"/>
    </row>
    <row r="168" spans="1:21" ht="12.95" customHeight="1" outlineLevel="2" x14ac:dyDescent="0.2">
      <c r="A168" s="108" t="s">
        <v>336</v>
      </c>
      <c r="B168" s="46" t="s">
        <v>306</v>
      </c>
      <c r="C168" s="93">
        <f t="shared" ref="C168:C169" si="97">D168+F168</f>
        <v>7.2</v>
      </c>
      <c r="D168" s="94">
        <f t="shared" ref="D168:D169" si="98">G168+J168+M168+P168+S168</f>
        <v>7.2</v>
      </c>
      <c r="E168" s="94">
        <f t="shared" ref="E168:E169" si="99">H168+K168+N168+Q168+T168</f>
        <v>0</v>
      </c>
      <c r="F168" s="94">
        <f t="shared" ref="F168:F169" si="100">I168+L168+O168+R168+U168</f>
        <v>0</v>
      </c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>
        <f>ROUND([5]Suvestine!$G$13/1000,1)</f>
        <v>7.2</v>
      </c>
      <c r="T168" s="95"/>
      <c r="U168" s="95"/>
    </row>
    <row r="169" spans="1:21" ht="12.95" customHeight="1" outlineLevel="2" x14ac:dyDescent="0.2">
      <c r="A169" s="108" t="s">
        <v>337</v>
      </c>
      <c r="B169" s="46" t="s">
        <v>305</v>
      </c>
      <c r="C169" s="93">
        <f t="shared" si="97"/>
        <v>2.5</v>
      </c>
      <c r="D169" s="94">
        <f t="shared" si="98"/>
        <v>2.5</v>
      </c>
      <c r="E169" s="94">
        <f t="shared" si="99"/>
        <v>0</v>
      </c>
      <c r="F169" s="94">
        <f t="shared" si="100"/>
        <v>0</v>
      </c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>
        <f>ROUND([5]Suvestine!$N$13/1000,1)</f>
        <v>2.5</v>
      </c>
      <c r="T169" s="95"/>
      <c r="U169" s="95"/>
    </row>
    <row r="170" spans="1:21" s="42" customFormat="1" ht="25.5" x14ac:dyDescent="0.2">
      <c r="A170" s="107" t="s">
        <v>338</v>
      </c>
      <c r="B170" s="45" t="s">
        <v>485</v>
      </c>
      <c r="C170" s="92">
        <f t="shared" ref="C170:U170" si="101">C171</f>
        <v>9.4</v>
      </c>
      <c r="D170" s="92">
        <f t="shared" si="101"/>
        <v>9.4</v>
      </c>
      <c r="E170" s="92">
        <f t="shared" si="101"/>
        <v>0</v>
      </c>
      <c r="F170" s="92">
        <f t="shared" si="101"/>
        <v>0</v>
      </c>
      <c r="G170" s="92">
        <f t="shared" si="101"/>
        <v>0</v>
      </c>
      <c r="H170" s="92">
        <f t="shared" si="101"/>
        <v>0</v>
      </c>
      <c r="I170" s="92">
        <f t="shared" si="101"/>
        <v>0</v>
      </c>
      <c r="J170" s="92">
        <f t="shared" si="101"/>
        <v>0</v>
      </c>
      <c r="K170" s="92">
        <f t="shared" si="101"/>
        <v>0</v>
      </c>
      <c r="L170" s="92">
        <f t="shared" si="101"/>
        <v>0</v>
      </c>
      <c r="M170" s="92">
        <f t="shared" si="101"/>
        <v>0</v>
      </c>
      <c r="N170" s="92">
        <f t="shared" si="101"/>
        <v>0</v>
      </c>
      <c r="O170" s="92">
        <f t="shared" si="101"/>
        <v>0</v>
      </c>
      <c r="P170" s="92">
        <f t="shared" si="101"/>
        <v>0</v>
      </c>
      <c r="Q170" s="92">
        <f t="shared" si="101"/>
        <v>0</v>
      </c>
      <c r="R170" s="92">
        <f t="shared" si="101"/>
        <v>0</v>
      </c>
      <c r="S170" s="92">
        <f t="shared" si="101"/>
        <v>9.4</v>
      </c>
      <c r="T170" s="92">
        <f t="shared" si="101"/>
        <v>0</v>
      </c>
      <c r="U170" s="92">
        <f t="shared" si="101"/>
        <v>0</v>
      </c>
    </row>
    <row r="171" spans="1:21" s="42" customFormat="1" ht="24.95" customHeight="1" outlineLevel="1" x14ac:dyDescent="0.2">
      <c r="A171" s="104" t="s">
        <v>339</v>
      </c>
      <c r="B171" s="43" t="s">
        <v>200</v>
      </c>
      <c r="C171" s="92">
        <f t="shared" ref="C171:U171" si="102">SUM(C172:C174)</f>
        <v>9.4</v>
      </c>
      <c r="D171" s="92">
        <f t="shared" si="102"/>
        <v>9.4</v>
      </c>
      <c r="E171" s="92">
        <f t="shared" si="102"/>
        <v>0</v>
      </c>
      <c r="F171" s="92">
        <f t="shared" si="102"/>
        <v>0</v>
      </c>
      <c r="G171" s="92">
        <f t="shared" si="102"/>
        <v>0</v>
      </c>
      <c r="H171" s="92">
        <f t="shared" si="102"/>
        <v>0</v>
      </c>
      <c r="I171" s="92">
        <f t="shared" si="102"/>
        <v>0</v>
      </c>
      <c r="J171" s="92">
        <f t="shared" si="102"/>
        <v>0</v>
      </c>
      <c r="K171" s="92">
        <f t="shared" si="102"/>
        <v>0</v>
      </c>
      <c r="L171" s="92">
        <f t="shared" si="102"/>
        <v>0</v>
      </c>
      <c r="M171" s="92">
        <f t="shared" si="102"/>
        <v>0</v>
      </c>
      <c r="N171" s="92">
        <f t="shared" si="102"/>
        <v>0</v>
      </c>
      <c r="O171" s="92">
        <f t="shared" si="102"/>
        <v>0</v>
      </c>
      <c r="P171" s="92">
        <f t="shared" si="102"/>
        <v>0</v>
      </c>
      <c r="Q171" s="92">
        <f t="shared" si="102"/>
        <v>0</v>
      </c>
      <c r="R171" s="92">
        <f t="shared" si="102"/>
        <v>0</v>
      </c>
      <c r="S171" s="92">
        <f t="shared" si="102"/>
        <v>9.4</v>
      </c>
      <c r="T171" s="92">
        <f t="shared" si="102"/>
        <v>0</v>
      </c>
      <c r="U171" s="92">
        <f t="shared" si="102"/>
        <v>0</v>
      </c>
    </row>
    <row r="172" spans="1:21" ht="12.95" customHeight="1" outlineLevel="2" x14ac:dyDescent="0.2">
      <c r="A172" s="108" t="s">
        <v>340</v>
      </c>
      <c r="B172" s="46" t="s">
        <v>304</v>
      </c>
      <c r="C172" s="93">
        <f>D172+F172</f>
        <v>5</v>
      </c>
      <c r="D172" s="94">
        <f>G172+J172+M172+P172+S172</f>
        <v>5</v>
      </c>
      <c r="E172" s="94">
        <f>H172+K172+N172+Q172+T172</f>
        <v>0</v>
      </c>
      <c r="F172" s="94">
        <f>I172+L172+O172+R172+U172</f>
        <v>0</v>
      </c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>
        <f>ROUND([5]Suvestine!$L$14/1000,1)</f>
        <v>5</v>
      </c>
      <c r="T172" s="95"/>
      <c r="U172" s="95"/>
    </row>
    <row r="173" spans="1:21" ht="12.95" customHeight="1" outlineLevel="2" x14ac:dyDescent="0.2">
      <c r="A173" s="108" t="s">
        <v>341</v>
      </c>
      <c r="B173" s="46" t="s">
        <v>306</v>
      </c>
      <c r="C173" s="93">
        <f t="shared" ref="C173:C174" si="103">D173+F173</f>
        <v>2.8</v>
      </c>
      <c r="D173" s="94">
        <f t="shared" ref="D173:D174" si="104">G173+J173+M173+P173+S173</f>
        <v>2.8</v>
      </c>
      <c r="E173" s="94">
        <f t="shared" ref="E173:E174" si="105">H173+K173+N173+Q173+T173</f>
        <v>0</v>
      </c>
      <c r="F173" s="94">
        <f t="shared" ref="F173:F174" si="106">I173+L173+O173+R173+U173</f>
        <v>0</v>
      </c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>
        <f>ROUND([5]Suvestine!$G$14/1000,1)</f>
        <v>2.8</v>
      </c>
      <c r="T173" s="95"/>
      <c r="U173" s="95"/>
    </row>
    <row r="174" spans="1:21" ht="12.95" customHeight="1" outlineLevel="2" x14ac:dyDescent="0.2">
      <c r="A174" s="108" t="s">
        <v>342</v>
      </c>
      <c r="B174" s="46" t="s">
        <v>305</v>
      </c>
      <c r="C174" s="93">
        <f t="shared" si="103"/>
        <v>1.6</v>
      </c>
      <c r="D174" s="94">
        <f t="shared" si="104"/>
        <v>1.6</v>
      </c>
      <c r="E174" s="94">
        <f t="shared" si="105"/>
        <v>0</v>
      </c>
      <c r="F174" s="94">
        <f t="shared" si="106"/>
        <v>0</v>
      </c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>
        <f>ROUND([5]Suvestine!$N$14/1000,1)</f>
        <v>1.6</v>
      </c>
      <c r="T174" s="95"/>
      <c r="U174" s="95"/>
    </row>
    <row r="175" spans="1:21" s="42" customFormat="1" ht="25.5" x14ac:dyDescent="0.2">
      <c r="A175" s="107" t="s">
        <v>343</v>
      </c>
      <c r="B175" s="45" t="s">
        <v>486</v>
      </c>
      <c r="C175" s="92">
        <f t="shared" ref="C175:U175" si="107">C176</f>
        <v>3.4</v>
      </c>
      <c r="D175" s="92">
        <f t="shared" si="107"/>
        <v>3.4</v>
      </c>
      <c r="E175" s="92">
        <f t="shared" si="107"/>
        <v>0</v>
      </c>
      <c r="F175" s="92">
        <f t="shared" si="107"/>
        <v>0</v>
      </c>
      <c r="G175" s="92">
        <f t="shared" si="107"/>
        <v>0</v>
      </c>
      <c r="H175" s="92">
        <f t="shared" si="107"/>
        <v>0</v>
      </c>
      <c r="I175" s="92">
        <f t="shared" si="107"/>
        <v>0</v>
      </c>
      <c r="J175" s="92">
        <f t="shared" si="107"/>
        <v>0</v>
      </c>
      <c r="K175" s="92">
        <f t="shared" si="107"/>
        <v>0</v>
      </c>
      <c r="L175" s="92">
        <f t="shared" si="107"/>
        <v>0</v>
      </c>
      <c r="M175" s="92">
        <f t="shared" si="107"/>
        <v>0</v>
      </c>
      <c r="N175" s="92">
        <f t="shared" si="107"/>
        <v>0</v>
      </c>
      <c r="O175" s="92">
        <f t="shared" si="107"/>
        <v>0</v>
      </c>
      <c r="P175" s="92">
        <f t="shared" si="107"/>
        <v>0</v>
      </c>
      <c r="Q175" s="92">
        <f t="shared" si="107"/>
        <v>0</v>
      </c>
      <c r="R175" s="92">
        <f t="shared" si="107"/>
        <v>0</v>
      </c>
      <c r="S175" s="92">
        <f t="shared" si="107"/>
        <v>3.4</v>
      </c>
      <c r="T175" s="92">
        <f t="shared" si="107"/>
        <v>0</v>
      </c>
      <c r="U175" s="92">
        <f t="shared" si="107"/>
        <v>0</v>
      </c>
    </row>
    <row r="176" spans="1:21" s="42" customFormat="1" ht="24.95" customHeight="1" outlineLevel="1" x14ac:dyDescent="0.2">
      <c r="A176" s="104" t="s">
        <v>344</v>
      </c>
      <c r="B176" s="43" t="s">
        <v>200</v>
      </c>
      <c r="C176" s="92">
        <f t="shared" ref="C176:U176" si="108">SUM(C177:C179)</f>
        <v>3.4</v>
      </c>
      <c r="D176" s="92">
        <f t="shared" si="108"/>
        <v>3.4</v>
      </c>
      <c r="E176" s="92">
        <f t="shared" si="108"/>
        <v>0</v>
      </c>
      <c r="F176" s="92">
        <f t="shared" si="108"/>
        <v>0</v>
      </c>
      <c r="G176" s="92">
        <f t="shared" si="108"/>
        <v>0</v>
      </c>
      <c r="H176" s="92">
        <f t="shared" si="108"/>
        <v>0</v>
      </c>
      <c r="I176" s="92">
        <f t="shared" si="108"/>
        <v>0</v>
      </c>
      <c r="J176" s="92">
        <f t="shared" si="108"/>
        <v>0</v>
      </c>
      <c r="K176" s="92">
        <f t="shared" si="108"/>
        <v>0</v>
      </c>
      <c r="L176" s="92">
        <f t="shared" si="108"/>
        <v>0</v>
      </c>
      <c r="M176" s="92">
        <f t="shared" si="108"/>
        <v>0</v>
      </c>
      <c r="N176" s="92">
        <f t="shared" si="108"/>
        <v>0</v>
      </c>
      <c r="O176" s="92">
        <f t="shared" si="108"/>
        <v>0</v>
      </c>
      <c r="P176" s="92">
        <f t="shared" si="108"/>
        <v>0</v>
      </c>
      <c r="Q176" s="92">
        <f t="shared" si="108"/>
        <v>0</v>
      </c>
      <c r="R176" s="92">
        <f t="shared" si="108"/>
        <v>0</v>
      </c>
      <c r="S176" s="92">
        <f t="shared" si="108"/>
        <v>3.4</v>
      </c>
      <c r="T176" s="92">
        <f t="shared" si="108"/>
        <v>0</v>
      </c>
      <c r="U176" s="92">
        <f t="shared" si="108"/>
        <v>0</v>
      </c>
    </row>
    <row r="177" spans="1:21" ht="12.95" customHeight="1" outlineLevel="2" x14ac:dyDescent="0.2">
      <c r="A177" s="108" t="s">
        <v>345</v>
      </c>
      <c r="B177" s="46" t="s">
        <v>304</v>
      </c>
      <c r="C177" s="93">
        <f>D177+F177</f>
        <v>0.9</v>
      </c>
      <c r="D177" s="94">
        <f t="shared" ref="D177:F179" si="109">G177+J177+M177+P177+S177</f>
        <v>0.9</v>
      </c>
      <c r="E177" s="94">
        <f t="shared" si="109"/>
        <v>0</v>
      </c>
      <c r="F177" s="94">
        <f t="shared" si="109"/>
        <v>0</v>
      </c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>
        <f>ROUND([5]Suvestine!$L$15/1000,1)</f>
        <v>0.9</v>
      </c>
      <c r="T177" s="95"/>
      <c r="U177" s="95"/>
    </row>
    <row r="178" spans="1:21" ht="12.95" customHeight="1" outlineLevel="2" x14ac:dyDescent="0.2">
      <c r="A178" s="108" t="s">
        <v>346</v>
      </c>
      <c r="B178" s="46" t="s">
        <v>306</v>
      </c>
      <c r="C178" s="93">
        <f>D178+F178</f>
        <v>1.4</v>
      </c>
      <c r="D178" s="94">
        <f t="shared" si="109"/>
        <v>1.4</v>
      </c>
      <c r="E178" s="94">
        <f t="shared" si="109"/>
        <v>0</v>
      </c>
      <c r="F178" s="94">
        <f t="shared" si="109"/>
        <v>0</v>
      </c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>
        <f>ROUND([5]Suvestine!$G$15/1000,1)</f>
        <v>1.4</v>
      </c>
      <c r="T178" s="95"/>
      <c r="U178" s="95"/>
    </row>
    <row r="179" spans="1:21" ht="12.95" customHeight="1" outlineLevel="2" x14ac:dyDescent="0.2">
      <c r="A179" s="108" t="s">
        <v>347</v>
      </c>
      <c r="B179" s="46" t="s">
        <v>305</v>
      </c>
      <c r="C179" s="93">
        <f>D179+F179</f>
        <v>1.1000000000000001</v>
      </c>
      <c r="D179" s="94">
        <f t="shared" si="109"/>
        <v>1.1000000000000001</v>
      </c>
      <c r="E179" s="94">
        <f t="shared" si="109"/>
        <v>0</v>
      </c>
      <c r="F179" s="94">
        <f t="shared" si="109"/>
        <v>0</v>
      </c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>
        <f>ROUND([5]Suvestine!$N$15/1000,1)</f>
        <v>1.1000000000000001</v>
      </c>
      <c r="T179" s="95"/>
      <c r="U179" s="95"/>
    </row>
    <row r="180" spans="1:21" s="42" customFormat="1" ht="25.5" x14ac:dyDescent="0.2">
      <c r="A180" s="107" t="s">
        <v>348</v>
      </c>
      <c r="B180" s="45" t="s">
        <v>349</v>
      </c>
      <c r="C180" s="92">
        <f t="shared" ref="C180:U180" si="110">C181</f>
        <v>8.4</v>
      </c>
      <c r="D180" s="92">
        <f t="shared" si="110"/>
        <v>8.4</v>
      </c>
      <c r="E180" s="92">
        <f t="shared" si="110"/>
        <v>0</v>
      </c>
      <c r="F180" s="92">
        <f t="shared" si="110"/>
        <v>0</v>
      </c>
      <c r="G180" s="92">
        <f t="shared" si="110"/>
        <v>0</v>
      </c>
      <c r="H180" s="92">
        <f t="shared" si="110"/>
        <v>0</v>
      </c>
      <c r="I180" s="92">
        <f t="shared" si="110"/>
        <v>0</v>
      </c>
      <c r="J180" s="92">
        <f t="shared" si="110"/>
        <v>0</v>
      </c>
      <c r="K180" s="92">
        <f t="shared" si="110"/>
        <v>0</v>
      </c>
      <c r="L180" s="92">
        <f t="shared" si="110"/>
        <v>0</v>
      </c>
      <c r="M180" s="92">
        <f t="shared" si="110"/>
        <v>0</v>
      </c>
      <c r="N180" s="92">
        <f t="shared" si="110"/>
        <v>0</v>
      </c>
      <c r="O180" s="92">
        <f t="shared" si="110"/>
        <v>0</v>
      </c>
      <c r="P180" s="92">
        <f t="shared" si="110"/>
        <v>0</v>
      </c>
      <c r="Q180" s="92">
        <f t="shared" si="110"/>
        <v>0</v>
      </c>
      <c r="R180" s="92">
        <f t="shared" si="110"/>
        <v>0</v>
      </c>
      <c r="S180" s="92">
        <f t="shared" si="110"/>
        <v>8.4</v>
      </c>
      <c r="T180" s="92">
        <f t="shared" si="110"/>
        <v>0</v>
      </c>
      <c r="U180" s="92">
        <f t="shared" si="110"/>
        <v>0</v>
      </c>
    </row>
    <row r="181" spans="1:21" s="42" customFormat="1" ht="24.95" customHeight="1" outlineLevel="1" x14ac:dyDescent="0.2">
      <c r="A181" s="104" t="s">
        <v>350</v>
      </c>
      <c r="B181" s="43" t="s">
        <v>200</v>
      </c>
      <c r="C181" s="92">
        <f t="shared" ref="C181:U181" si="111">SUM(C182:C184)</f>
        <v>8.4</v>
      </c>
      <c r="D181" s="92">
        <f t="shared" si="111"/>
        <v>8.4</v>
      </c>
      <c r="E181" s="92">
        <f t="shared" si="111"/>
        <v>0</v>
      </c>
      <c r="F181" s="92">
        <f t="shared" si="111"/>
        <v>0</v>
      </c>
      <c r="G181" s="92">
        <f t="shared" si="111"/>
        <v>0</v>
      </c>
      <c r="H181" s="92">
        <f t="shared" si="111"/>
        <v>0</v>
      </c>
      <c r="I181" s="92">
        <f t="shared" si="111"/>
        <v>0</v>
      </c>
      <c r="J181" s="92">
        <f t="shared" si="111"/>
        <v>0</v>
      </c>
      <c r="K181" s="92">
        <f t="shared" si="111"/>
        <v>0</v>
      </c>
      <c r="L181" s="92">
        <f t="shared" si="111"/>
        <v>0</v>
      </c>
      <c r="M181" s="92">
        <f t="shared" si="111"/>
        <v>0</v>
      </c>
      <c r="N181" s="92">
        <f t="shared" si="111"/>
        <v>0</v>
      </c>
      <c r="O181" s="92">
        <f t="shared" si="111"/>
        <v>0</v>
      </c>
      <c r="P181" s="92">
        <f t="shared" si="111"/>
        <v>0</v>
      </c>
      <c r="Q181" s="92">
        <f t="shared" si="111"/>
        <v>0</v>
      </c>
      <c r="R181" s="92">
        <f t="shared" si="111"/>
        <v>0</v>
      </c>
      <c r="S181" s="92">
        <f t="shared" si="111"/>
        <v>8.4</v>
      </c>
      <c r="T181" s="92">
        <f t="shared" si="111"/>
        <v>0</v>
      </c>
      <c r="U181" s="92">
        <f t="shared" si="111"/>
        <v>0</v>
      </c>
    </row>
    <row r="182" spans="1:21" ht="12.95" customHeight="1" outlineLevel="2" x14ac:dyDescent="0.2">
      <c r="A182" s="108" t="s">
        <v>351</v>
      </c>
      <c r="B182" s="46" t="s">
        <v>304</v>
      </c>
      <c r="C182" s="93">
        <f>D182+F182</f>
        <v>2.5</v>
      </c>
      <c r="D182" s="94">
        <f t="shared" ref="D182:F184" si="112">G182+J182+M182+P182+S182</f>
        <v>2.5</v>
      </c>
      <c r="E182" s="94">
        <f t="shared" si="112"/>
        <v>0</v>
      </c>
      <c r="F182" s="94">
        <f t="shared" si="112"/>
        <v>0</v>
      </c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>
        <f>ROUND([5]Suvestine!$L$16/1000,1)</f>
        <v>2.5</v>
      </c>
      <c r="T182" s="95"/>
      <c r="U182" s="95"/>
    </row>
    <row r="183" spans="1:21" ht="12.95" customHeight="1" outlineLevel="2" x14ac:dyDescent="0.2">
      <c r="A183" s="108" t="s">
        <v>352</v>
      </c>
      <c r="B183" s="46" t="s">
        <v>306</v>
      </c>
      <c r="C183" s="93">
        <f>D183+F183</f>
        <v>3.3</v>
      </c>
      <c r="D183" s="94">
        <f t="shared" si="112"/>
        <v>3.3</v>
      </c>
      <c r="E183" s="94">
        <f t="shared" si="112"/>
        <v>0</v>
      </c>
      <c r="F183" s="94">
        <f t="shared" si="112"/>
        <v>0</v>
      </c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>
        <f>ROUND([5]Suvestine!$G$16/1000,1)</f>
        <v>3.3</v>
      </c>
      <c r="T183" s="95"/>
      <c r="U183" s="95"/>
    </row>
    <row r="184" spans="1:21" ht="12.95" customHeight="1" outlineLevel="2" x14ac:dyDescent="0.2">
      <c r="A184" s="108" t="s">
        <v>353</v>
      </c>
      <c r="B184" s="46" t="s">
        <v>305</v>
      </c>
      <c r="C184" s="93">
        <f>D184+F184</f>
        <v>2.6</v>
      </c>
      <c r="D184" s="94">
        <f t="shared" si="112"/>
        <v>2.6</v>
      </c>
      <c r="E184" s="94">
        <f t="shared" si="112"/>
        <v>0</v>
      </c>
      <c r="F184" s="94">
        <f t="shared" si="112"/>
        <v>0</v>
      </c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>
        <f>ROUND([5]Suvestine!$N$16/1000,1)</f>
        <v>2.6</v>
      </c>
      <c r="T184" s="95"/>
      <c r="U184" s="95"/>
    </row>
    <row r="185" spans="1:21" s="42" customFormat="1" ht="25.5" x14ac:dyDescent="0.2">
      <c r="A185" s="107" t="s">
        <v>354</v>
      </c>
      <c r="B185" s="45" t="s">
        <v>355</v>
      </c>
      <c r="C185" s="92">
        <f t="shared" ref="C185:U185" si="113">C186</f>
        <v>43.099999999999994</v>
      </c>
      <c r="D185" s="92">
        <f t="shared" si="113"/>
        <v>43.099999999999994</v>
      </c>
      <c r="E185" s="92">
        <f t="shared" si="113"/>
        <v>0</v>
      </c>
      <c r="F185" s="92">
        <f t="shared" si="113"/>
        <v>0</v>
      </c>
      <c r="G185" s="92">
        <f t="shared" si="113"/>
        <v>0</v>
      </c>
      <c r="H185" s="92">
        <f t="shared" si="113"/>
        <v>0</v>
      </c>
      <c r="I185" s="92">
        <f t="shared" si="113"/>
        <v>0</v>
      </c>
      <c r="J185" s="92">
        <f t="shared" si="113"/>
        <v>0</v>
      </c>
      <c r="K185" s="92">
        <f t="shared" si="113"/>
        <v>0</v>
      </c>
      <c r="L185" s="92">
        <f t="shared" si="113"/>
        <v>0</v>
      </c>
      <c r="M185" s="92">
        <f t="shared" si="113"/>
        <v>0</v>
      </c>
      <c r="N185" s="92">
        <f t="shared" si="113"/>
        <v>0</v>
      </c>
      <c r="O185" s="92">
        <f t="shared" si="113"/>
        <v>0</v>
      </c>
      <c r="P185" s="92">
        <f t="shared" si="113"/>
        <v>0</v>
      </c>
      <c r="Q185" s="92">
        <f t="shared" si="113"/>
        <v>0</v>
      </c>
      <c r="R185" s="92">
        <f t="shared" si="113"/>
        <v>0</v>
      </c>
      <c r="S185" s="92">
        <f t="shared" si="113"/>
        <v>43.099999999999994</v>
      </c>
      <c r="T185" s="92">
        <f t="shared" si="113"/>
        <v>0</v>
      </c>
      <c r="U185" s="92">
        <f t="shared" si="113"/>
        <v>0</v>
      </c>
    </row>
    <row r="186" spans="1:21" s="42" customFormat="1" ht="24.95" customHeight="1" outlineLevel="1" x14ac:dyDescent="0.2">
      <c r="A186" s="104" t="s">
        <v>356</v>
      </c>
      <c r="B186" s="43" t="s">
        <v>200</v>
      </c>
      <c r="C186" s="92">
        <f t="shared" ref="C186:U186" si="114">SUM(C187:C189)</f>
        <v>43.099999999999994</v>
      </c>
      <c r="D186" s="92">
        <f t="shared" si="114"/>
        <v>43.099999999999994</v>
      </c>
      <c r="E186" s="92">
        <f t="shared" si="114"/>
        <v>0</v>
      </c>
      <c r="F186" s="92">
        <f t="shared" si="114"/>
        <v>0</v>
      </c>
      <c r="G186" s="92">
        <f t="shared" si="114"/>
        <v>0</v>
      </c>
      <c r="H186" s="92">
        <f t="shared" si="114"/>
        <v>0</v>
      </c>
      <c r="I186" s="92">
        <f t="shared" si="114"/>
        <v>0</v>
      </c>
      <c r="J186" s="92">
        <f t="shared" si="114"/>
        <v>0</v>
      </c>
      <c r="K186" s="92">
        <f t="shared" si="114"/>
        <v>0</v>
      </c>
      <c r="L186" s="92">
        <f t="shared" si="114"/>
        <v>0</v>
      </c>
      <c r="M186" s="92">
        <f t="shared" si="114"/>
        <v>0</v>
      </c>
      <c r="N186" s="92">
        <f t="shared" si="114"/>
        <v>0</v>
      </c>
      <c r="O186" s="92">
        <f t="shared" si="114"/>
        <v>0</v>
      </c>
      <c r="P186" s="92">
        <f t="shared" si="114"/>
        <v>0</v>
      </c>
      <c r="Q186" s="92">
        <f t="shared" si="114"/>
        <v>0</v>
      </c>
      <c r="R186" s="92">
        <f t="shared" si="114"/>
        <v>0</v>
      </c>
      <c r="S186" s="92">
        <f t="shared" si="114"/>
        <v>43.099999999999994</v>
      </c>
      <c r="T186" s="92">
        <f t="shared" si="114"/>
        <v>0</v>
      </c>
      <c r="U186" s="92">
        <f t="shared" si="114"/>
        <v>0</v>
      </c>
    </row>
    <row r="187" spans="1:21" ht="12.95" customHeight="1" outlineLevel="2" x14ac:dyDescent="0.2">
      <c r="A187" s="108" t="s">
        <v>357</v>
      </c>
      <c r="B187" s="46" t="s">
        <v>304</v>
      </c>
      <c r="C187" s="93">
        <f>D187+F187</f>
        <v>19</v>
      </c>
      <c r="D187" s="94">
        <f t="shared" ref="D187:F189" si="115">G187+J187+M187+P187+S187</f>
        <v>19</v>
      </c>
      <c r="E187" s="94">
        <f t="shared" si="115"/>
        <v>0</v>
      </c>
      <c r="F187" s="94">
        <f t="shared" si="115"/>
        <v>0</v>
      </c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>
        <f>ROUND([5]Suvestine!$L$17/1000,1)</f>
        <v>19</v>
      </c>
      <c r="T187" s="95"/>
      <c r="U187" s="95"/>
    </row>
    <row r="188" spans="1:21" ht="12.95" customHeight="1" outlineLevel="2" x14ac:dyDescent="0.2">
      <c r="A188" s="108" t="s">
        <v>358</v>
      </c>
      <c r="B188" s="46" t="s">
        <v>306</v>
      </c>
      <c r="C188" s="93">
        <f>D188+F188</f>
        <v>22.3</v>
      </c>
      <c r="D188" s="94">
        <f t="shared" si="115"/>
        <v>22.3</v>
      </c>
      <c r="E188" s="94">
        <f t="shared" si="115"/>
        <v>0</v>
      </c>
      <c r="F188" s="94">
        <f t="shared" si="115"/>
        <v>0</v>
      </c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>
        <f>ROUND([5]Suvestine!$G$17/1000,1)</f>
        <v>22.3</v>
      </c>
      <c r="T188" s="95"/>
      <c r="U188" s="95"/>
    </row>
    <row r="189" spans="1:21" ht="12.95" customHeight="1" outlineLevel="2" x14ac:dyDescent="0.2">
      <c r="A189" s="108" t="s">
        <v>359</v>
      </c>
      <c r="B189" s="46" t="s">
        <v>305</v>
      </c>
      <c r="C189" s="93">
        <f>D189+F189</f>
        <v>1.8</v>
      </c>
      <c r="D189" s="94">
        <f t="shared" si="115"/>
        <v>1.8</v>
      </c>
      <c r="E189" s="94">
        <f t="shared" si="115"/>
        <v>0</v>
      </c>
      <c r="F189" s="94">
        <f t="shared" si="115"/>
        <v>0</v>
      </c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>
        <f>ROUND([5]Suvestine!$N$17/1000,1)</f>
        <v>1.8</v>
      </c>
      <c r="T189" s="95"/>
      <c r="U189" s="95"/>
    </row>
    <row r="190" spans="1:21" s="42" customFormat="1" ht="12.75" customHeight="1" x14ac:dyDescent="0.2">
      <c r="A190" s="107" t="s">
        <v>360</v>
      </c>
      <c r="B190" s="45" t="s">
        <v>361</v>
      </c>
      <c r="C190" s="92">
        <f t="shared" ref="C190:U190" si="116">C191</f>
        <v>110.4</v>
      </c>
      <c r="D190" s="92">
        <f t="shared" si="116"/>
        <v>108.9</v>
      </c>
      <c r="E190" s="92">
        <f t="shared" si="116"/>
        <v>71.599999999999994</v>
      </c>
      <c r="F190" s="92">
        <f t="shared" si="116"/>
        <v>1.5</v>
      </c>
      <c r="G190" s="92">
        <f t="shared" si="116"/>
        <v>82.6</v>
      </c>
      <c r="H190" s="92">
        <f t="shared" si="116"/>
        <v>55.3</v>
      </c>
      <c r="I190" s="92">
        <f t="shared" si="116"/>
        <v>0</v>
      </c>
      <c r="J190" s="92">
        <f t="shared" si="116"/>
        <v>0</v>
      </c>
      <c r="K190" s="92">
        <f t="shared" si="116"/>
        <v>0</v>
      </c>
      <c r="L190" s="92">
        <f t="shared" si="116"/>
        <v>0</v>
      </c>
      <c r="M190" s="92">
        <f t="shared" si="116"/>
        <v>0</v>
      </c>
      <c r="N190" s="92">
        <f t="shared" si="116"/>
        <v>0</v>
      </c>
      <c r="O190" s="92">
        <f t="shared" si="116"/>
        <v>0</v>
      </c>
      <c r="P190" s="92">
        <f t="shared" si="116"/>
        <v>2</v>
      </c>
      <c r="Q190" s="92">
        <f t="shared" si="116"/>
        <v>0</v>
      </c>
      <c r="R190" s="92">
        <f t="shared" si="116"/>
        <v>0</v>
      </c>
      <c r="S190" s="92">
        <f t="shared" si="116"/>
        <v>24.3</v>
      </c>
      <c r="T190" s="92">
        <f t="shared" si="116"/>
        <v>16.3</v>
      </c>
      <c r="U190" s="92">
        <f t="shared" si="116"/>
        <v>1.5</v>
      </c>
    </row>
    <row r="191" spans="1:21" s="42" customFormat="1" ht="12.75" customHeight="1" outlineLevel="1" x14ac:dyDescent="0.2">
      <c r="A191" s="104" t="s">
        <v>362</v>
      </c>
      <c r="B191" s="43" t="s">
        <v>233</v>
      </c>
      <c r="C191" s="92">
        <f t="shared" ref="C191:U191" si="117">SUM(C192:C193)</f>
        <v>110.4</v>
      </c>
      <c r="D191" s="92">
        <f t="shared" si="117"/>
        <v>108.9</v>
      </c>
      <c r="E191" s="92">
        <f t="shared" si="117"/>
        <v>71.599999999999994</v>
      </c>
      <c r="F191" s="92">
        <f t="shared" si="117"/>
        <v>1.5</v>
      </c>
      <c r="G191" s="92">
        <f t="shared" si="117"/>
        <v>82.6</v>
      </c>
      <c r="H191" s="92">
        <f t="shared" si="117"/>
        <v>55.3</v>
      </c>
      <c r="I191" s="92">
        <f t="shared" si="117"/>
        <v>0</v>
      </c>
      <c r="J191" s="92">
        <f t="shared" si="117"/>
        <v>0</v>
      </c>
      <c r="K191" s="92">
        <f t="shared" si="117"/>
        <v>0</v>
      </c>
      <c r="L191" s="92">
        <f t="shared" si="117"/>
        <v>0</v>
      </c>
      <c r="M191" s="92">
        <f t="shared" si="117"/>
        <v>0</v>
      </c>
      <c r="N191" s="92">
        <f t="shared" si="117"/>
        <v>0</v>
      </c>
      <c r="O191" s="92">
        <f t="shared" si="117"/>
        <v>0</v>
      </c>
      <c r="P191" s="92">
        <f t="shared" si="117"/>
        <v>2</v>
      </c>
      <c r="Q191" s="92">
        <f t="shared" si="117"/>
        <v>0</v>
      </c>
      <c r="R191" s="92">
        <f t="shared" si="117"/>
        <v>0</v>
      </c>
      <c r="S191" s="92">
        <f t="shared" si="117"/>
        <v>24.3</v>
      </c>
      <c r="T191" s="92">
        <f t="shared" si="117"/>
        <v>16.3</v>
      </c>
      <c r="U191" s="92">
        <f t="shared" si="117"/>
        <v>1.5</v>
      </c>
    </row>
    <row r="192" spans="1:21" ht="25.5" outlineLevel="2" x14ac:dyDescent="0.2">
      <c r="A192" s="108" t="s">
        <v>363</v>
      </c>
      <c r="B192" s="46" t="s">
        <v>364</v>
      </c>
      <c r="C192" s="93">
        <f>D192+F192</f>
        <v>61.600000000000009</v>
      </c>
      <c r="D192" s="94">
        <f>G192+J192+M192+P192+S192</f>
        <v>60.100000000000009</v>
      </c>
      <c r="E192" s="94">
        <f t="shared" ref="D192:F193" si="118">H192+K192+N192+Q192+T192</f>
        <v>40</v>
      </c>
      <c r="F192" s="94">
        <f t="shared" si="118"/>
        <v>1.5</v>
      </c>
      <c r="G192" s="95">
        <f>ROUND([6]VSB_2017!$H$17/1000,1)+ROUND('[3]2017-06-28'!$G$184/1000,1)</f>
        <v>33.800000000000004</v>
      </c>
      <c r="H192" s="95">
        <f>ROUND([6]VSB_2017!$H$10/1000,1)++ROUND('[3]2017-06-28'!$H$184/1000,1)</f>
        <v>23.7</v>
      </c>
      <c r="I192" s="95"/>
      <c r="J192" s="95"/>
      <c r="K192" s="95"/>
      <c r="L192" s="95"/>
      <c r="M192" s="95"/>
      <c r="N192" s="95"/>
      <c r="O192" s="95"/>
      <c r="P192" s="95">
        <f>BIP!G29</f>
        <v>2</v>
      </c>
      <c r="Q192" s="95"/>
      <c r="R192" s="95"/>
      <c r="S192" s="95">
        <f>ROUND('[7]Sveikatos biuras'!$R$9/1000,1)</f>
        <v>24.3</v>
      </c>
      <c r="T192" s="95">
        <f>ROUND('[7]Sveikatos biuras'!$R$11/1000,1)</f>
        <v>16.3</v>
      </c>
      <c r="U192" s="95">
        <f>ROUND('[7]Sveikatos biuras'!$R$55/1000,1)</f>
        <v>1.5</v>
      </c>
    </row>
    <row r="193" spans="1:21" ht="38.25" outlineLevel="2" x14ac:dyDescent="0.2">
      <c r="A193" s="108" t="s">
        <v>365</v>
      </c>
      <c r="B193" s="46" t="s">
        <v>497</v>
      </c>
      <c r="C193" s="93">
        <f>D193+F193</f>
        <v>48.8</v>
      </c>
      <c r="D193" s="94">
        <f t="shared" si="118"/>
        <v>48.8</v>
      </c>
      <c r="E193" s="94">
        <f t="shared" si="118"/>
        <v>31.599999999999998</v>
      </c>
      <c r="F193" s="94">
        <f t="shared" si="118"/>
        <v>0</v>
      </c>
      <c r="G193" s="95">
        <f>ROUND([6]VSB_2017!$H$26/1000,1)+ROUND('[3]2017-06-28'!$G$185/1000,1)</f>
        <v>48.8</v>
      </c>
      <c r="H193" s="95">
        <f>ROUND([6]VSB_2017!$H$19/1000,1)+ROUND('[3]2017-06-28'!$H$185/1000,1)</f>
        <v>31.599999999999998</v>
      </c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</row>
    <row r="194" spans="1:21" s="42" customFormat="1" x14ac:dyDescent="0.2">
      <c r="A194" s="107" t="s">
        <v>366</v>
      </c>
      <c r="B194" s="45" t="s">
        <v>367</v>
      </c>
      <c r="C194" s="92">
        <f t="shared" ref="C194:U194" si="119">C195</f>
        <v>519.29999999999995</v>
      </c>
      <c r="D194" s="92">
        <f t="shared" si="119"/>
        <v>514.29999999999995</v>
      </c>
      <c r="E194" s="92">
        <f t="shared" si="119"/>
        <v>319.3</v>
      </c>
      <c r="F194" s="92">
        <f t="shared" si="119"/>
        <v>5</v>
      </c>
      <c r="G194" s="92">
        <f t="shared" si="119"/>
        <v>0</v>
      </c>
      <c r="H194" s="92">
        <f t="shared" si="119"/>
        <v>0</v>
      </c>
      <c r="I194" s="92">
        <f t="shared" si="119"/>
        <v>0</v>
      </c>
      <c r="J194" s="92">
        <f t="shared" si="119"/>
        <v>0</v>
      </c>
      <c r="K194" s="92">
        <f t="shared" si="119"/>
        <v>0</v>
      </c>
      <c r="L194" s="92">
        <f t="shared" si="119"/>
        <v>0</v>
      </c>
      <c r="M194" s="92">
        <f t="shared" si="119"/>
        <v>0</v>
      </c>
      <c r="N194" s="92">
        <f t="shared" si="119"/>
        <v>0</v>
      </c>
      <c r="O194" s="92">
        <f t="shared" si="119"/>
        <v>0</v>
      </c>
      <c r="P194" s="92">
        <f t="shared" si="119"/>
        <v>2</v>
      </c>
      <c r="Q194" s="92">
        <f t="shared" si="119"/>
        <v>0</v>
      </c>
      <c r="R194" s="92">
        <f t="shared" si="119"/>
        <v>0</v>
      </c>
      <c r="S194" s="92">
        <f t="shared" si="119"/>
        <v>512.29999999999995</v>
      </c>
      <c r="T194" s="92">
        <f t="shared" si="119"/>
        <v>319.3</v>
      </c>
      <c r="U194" s="92">
        <f t="shared" si="119"/>
        <v>5</v>
      </c>
    </row>
    <row r="195" spans="1:21" s="42" customFormat="1" outlineLevel="1" x14ac:dyDescent="0.2">
      <c r="A195" s="104" t="s">
        <v>368</v>
      </c>
      <c r="B195" s="43" t="s">
        <v>241</v>
      </c>
      <c r="C195" s="92">
        <f t="shared" ref="C195:U195" si="120">SUM(C196:C196)</f>
        <v>519.29999999999995</v>
      </c>
      <c r="D195" s="92">
        <f t="shared" si="120"/>
        <v>514.29999999999995</v>
      </c>
      <c r="E195" s="92">
        <f t="shared" si="120"/>
        <v>319.3</v>
      </c>
      <c r="F195" s="92">
        <f t="shared" si="120"/>
        <v>5</v>
      </c>
      <c r="G195" s="92">
        <f t="shared" si="120"/>
        <v>0</v>
      </c>
      <c r="H195" s="92">
        <f t="shared" si="120"/>
        <v>0</v>
      </c>
      <c r="I195" s="92">
        <f t="shared" si="120"/>
        <v>0</v>
      </c>
      <c r="J195" s="92">
        <f t="shared" si="120"/>
        <v>0</v>
      </c>
      <c r="K195" s="92">
        <f t="shared" si="120"/>
        <v>0</v>
      </c>
      <c r="L195" s="92">
        <f t="shared" si="120"/>
        <v>0</v>
      </c>
      <c r="M195" s="92">
        <f t="shared" si="120"/>
        <v>0</v>
      </c>
      <c r="N195" s="92">
        <f t="shared" si="120"/>
        <v>0</v>
      </c>
      <c r="O195" s="92">
        <f t="shared" si="120"/>
        <v>0</v>
      </c>
      <c r="P195" s="92">
        <f t="shared" si="120"/>
        <v>2</v>
      </c>
      <c r="Q195" s="92">
        <f t="shared" si="120"/>
        <v>0</v>
      </c>
      <c r="R195" s="92">
        <f t="shared" si="120"/>
        <v>0</v>
      </c>
      <c r="S195" s="92">
        <f t="shared" si="120"/>
        <v>512.29999999999995</v>
      </c>
      <c r="T195" s="92">
        <f t="shared" si="120"/>
        <v>319.3</v>
      </c>
      <c r="U195" s="92">
        <f t="shared" si="120"/>
        <v>5</v>
      </c>
    </row>
    <row r="196" spans="1:21" ht="25.5" outlineLevel="2" x14ac:dyDescent="0.2">
      <c r="A196" s="108" t="s">
        <v>369</v>
      </c>
      <c r="B196" s="46" t="s">
        <v>370</v>
      </c>
      <c r="C196" s="93">
        <f>D196+F196</f>
        <v>519.29999999999995</v>
      </c>
      <c r="D196" s="94">
        <f>G196+J196+M196+P196+S196</f>
        <v>514.29999999999995</v>
      </c>
      <c r="E196" s="94">
        <f>H196+K196+N196+Q196+T196</f>
        <v>319.3</v>
      </c>
      <c r="F196" s="94">
        <f>I196+L196+O196+R196+U196</f>
        <v>5</v>
      </c>
      <c r="G196" s="95"/>
      <c r="H196" s="95"/>
      <c r="I196" s="95"/>
      <c r="J196" s="95"/>
      <c r="K196" s="95"/>
      <c r="L196" s="95"/>
      <c r="M196" s="95"/>
      <c r="N196" s="95"/>
      <c r="O196" s="95"/>
      <c r="P196" s="95">
        <f>BIP!G28</f>
        <v>2</v>
      </c>
      <c r="Q196" s="95"/>
      <c r="R196" s="95"/>
      <c r="S196" s="95">
        <f>ROUND([7]Biblioteka!$R$9/1000,1)</f>
        <v>512.29999999999995</v>
      </c>
      <c r="T196" s="95">
        <f>ROUND([7]Biblioteka!$R$11/1000,1)</f>
        <v>319.3</v>
      </c>
      <c r="U196" s="95">
        <f>ROUND([7]Biblioteka!$R$62/1000+[7]Biblioteka!$R$69/1000,1)+ROUND('[3]2017-06-28'!$U$188/1000,1)</f>
        <v>5</v>
      </c>
    </row>
    <row r="197" spans="1:21" s="42" customFormat="1" x14ac:dyDescent="0.2">
      <c r="A197" s="107" t="s">
        <v>371</v>
      </c>
      <c r="B197" s="45" t="s">
        <v>372</v>
      </c>
      <c r="C197" s="92">
        <f t="shared" ref="C197:U197" si="121">C198</f>
        <v>116.3</v>
      </c>
      <c r="D197" s="92">
        <f t="shared" si="121"/>
        <v>113.3</v>
      </c>
      <c r="E197" s="92">
        <f t="shared" si="121"/>
        <v>69.099999999999994</v>
      </c>
      <c r="F197" s="92">
        <f t="shared" si="121"/>
        <v>3</v>
      </c>
      <c r="G197" s="92">
        <f t="shared" si="121"/>
        <v>0</v>
      </c>
      <c r="H197" s="92">
        <f t="shared" si="121"/>
        <v>0</v>
      </c>
      <c r="I197" s="92">
        <f t="shared" si="121"/>
        <v>0</v>
      </c>
      <c r="J197" s="92">
        <f t="shared" si="121"/>
        <v>0</v>
      </c>
      <c r="K197" s="92">
        <f t="shared" si="121"/>
        <v>0</v>
      </c>
      <c r="L197" s="92">
        <f t="shared" si="121"/>
        <v>0</v>
      </c>
      <c r="M197" s="92">
        <f t="shared" si="121"/>
        <v>0</v>
      </c>
      <c r="N197" s="92">
        <f t="shared" si="121"/>
        <v>0</v>
      </c>
      <c r="O197" s="92">
        <f t="shared" si="121"/>
        <v>0</v>
      </c>
      <c r="P197" s="92">
        <f t="shared" si="121"/>
        <v>0</v>
      </c>
      <c r="Q197" s="92">
        <f t="shared" si="121"/>
        <v>0</v>
      </c>
      <c r="R197" s="92">
        <f t="shared" si="121"/>
        <v>0</v>
      </c>
      <c r="S197" s="92">
        <f t="shared" si="121"/>
        <v>113.3</v>
      </c>
      <c r="T197" s="92">
        <f t="shared" si="121"/>
        <v>69.099999999999994</v>
      </c>
      <c r="U197" s="92">
        <f t="shared" si="121"/>
        <v>3</v>
      </c>
    </row>
    <row r="198" spans="1:21" s="42" customFormat="1" outlineLevel="1" x14ac:dyDescent="0.2">
      <c r="A198" s="104" t="s">
        <v>373</v>
      </c>
      <c r="B198" s="43" t="s">
        <v>241</v>
      </c>
      <c r="C198" s="92">
        <f t="shared" ref="C198:U198" si="122">SUM(C199:C199)</f>
        <v>116.3</v>
      </c>
      <c r="D198" s="92">
        <f t="shared" si="122"/>
        <v>113.3</v>
      </c>
      <c r="E198" s="92">
        <f t="shared" si="122"/>
        <v>69.099999999999994</v>
      </c>
      <c r="F198" s="92">
        <f t="shared" si="122"/>
        <v>3</v>
      </c>
      <c r="G198" s="92">
        <f t="shared" si="122"/>
        <v>0</v>
      </c>
      <c r="H198" s="92">
        <f t="shared" si="122"/>
        <v>0</v>
      </c>
      <c r="I198" s="92">
        <f t="shared" si="122"/>
        <v>0</v>
      </c>
      <c r="J198" s="92">
        <f t="shared" si="122"/>
        <v>0</v>
      </c>
      <c r="K198" s="92">
        <f t="shared" si="122"/>
        <v>0</v>
      </c>
      <c r="L198" s="92">
        <f t="shared" si="122"/>
        <v>0</v>
      </c>
      <c r="M198" s="92">
        <f t="shared" si="122"/>
        <v>0</v>
      </c>
      <c r="N198" s="92">
        <f t="shared" si="122"/>
        <v>0</v>
      </c>
      <c r="O198" s="92">
        <f t="shared" si="122"/>
        <v>0</v>
      </c>
      <c r="P198" s="92">
        <f t="shared" si="122"/>
        <v>0</v>
      </c>
      <c r="Q198" s="92">
        <f t="shared" si="122"/>
        <v>0</v>
      </c>
      <c r="R198" s="92">
        <f t="shared" si="122"/>
        <v>0</v>
      </c>
      <c r="S198" s="92">
        <f t="shared" si="122"/>
        <v>113.3</v>
      </c>
      <c r="T198" s="92">
        <f t="shared" si="122"/>
        <v>69.099999999999994</v>
      </c>
      <c r="U198" s="92">
        <f t="shared" si="122"/>
        <v>3</v>
      </c>
    </row>
    <row r="199" spans="1:21" ht="25.5" outlineLevel="2" x14ac:dyDescent="0.2">
      <c r="A199" s="108" t="s">
        <v>374</v>
      </c>
      <c r="B199" s="51" t="s">
        <v>375</v>
      </c>
      <c r="C199" s="93">
        <f>D199+F199</f>
        <v>116.3</v>
      </c>
      <c r="D199" s="94">
        <f>G199+J199+M199+P199+S199</f>
        <v>113.3</v>
      </c>
      <c r="E199" s="94">
        <f>H199+K199+N199+Q199+T199</f>
        <v>69.099999999999994</v>
      </c>
      <c r="F199" s="94">
        <f>I199+L199+O199+R199+U199</f>
        <v>3</v>
      </c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>
        <f>ROUND([7]Muziejus!$R$9/1000,1)</f>
        <v>113.3</v>
      </c>
      <c r="T199" s="95">
        <f>ROUND([7]Muziejus!$R$11/1000,1)</f>
        <v>69.099999999999994</v>
      </c>
      <c r="U199" s="95">
        <f>ROUND([7]Muziejus!$R$63/1000+[7]Muziejus!$R$67/1000,1)</f>
        <v>3</v>
      </c>
    </row>
    <row r="200" spans="1:21" s="42" customFormat="1" x14ac:dyDescent="0.2">
      <c r="A200" s="107" t="s">
        <v>376</v>
      </c>
      <c r="B200" s="52" t="s">
        <v>377</v>
      </c>
      <c r="C200" s="92">
        <f>C201+C204</f>
        <v>603.6</v>
      </c>
      <c r="D200" s="92">
        <f t="shared" ref="D200:F200" si="123">D201+D204</f>
        <v>603.6</v>
      </c>
      <c r="E200" s="92">
        <f t="shared" si="123"/>
        <v>383.09999999999997</v>
      </c>
      <c r="F200" s="92">
        <f t="shared" si="123"/>
        <v>0</v>
      </c>
      <c r="G200" s="92">
        <f>G201+G204</f>
        <v>19.7</v>
      </c>
      <c r="H200" s="92">
        <f t="shared" ref="H200:U200" si="124">H201+H204</f>
        <v>8.1000000000000014</v>
      </c>
      <c r="I200" s="92">
        <f t="shared" si="124"/>
        <v>0</v>
      </c>
      <c r="J200" s="92">
        <f t="shared" si="124"/>
        <v>0</v>
      </c>
      <c r="K200" s="92">
        <f t="shared" si="124"/>
        <v>0</v>
      </c>
      <c r="L200" s="92">
        <f t="shared" si="124"/>
        <v>0</v>
      </c>
      <c r="M200" s="92">
        <f t="shared" si="124"/>
        <v>268.8</v>
      </c>
      <c r="N200" s="92">
        <f t="shared" si="124"/>
        <v>199</v>
      </c>
      <c r="O200" s="92">
        <f t="shared" si="124"/>
        <v>0</v>
      </c>
      <c r="P200" s="92">
        <f t="shared" si="124"/>
        <v>33.200000000000003</v>
      </c>
      <c r="Q200" s="92">
        <f t="shared" si="124"/>
        <v>0</v>
      </c>
      <c r="R200" s="92">
        <f t="shared" si="124"/>
        <v>0</v>
      </c>
      <c r="S200" s="92">
        <f t="shared" si="124"/>
        <v>281.89999999999998</v>
      </c>
      <c r="T200" s="92">
        <f t="shared" si="124"/>
        <v>176</v>
      </c>
      <c r="U200" s="92">
        <f t="shared" si="124"/>
        <v>0</v>
      </c>
    </row>
    <row r="201" spans="1:21" s="42" customFormat="1" outlineLevel="1" x14ac:dyDescent="0.2">
      <c r="A201" s="104" t="s">
        <v>378</v>
      </c>
      <c r="B201" s="43" t="s">
        <v>262</v>
      </c>
      <c r="C201" s="92">
        <f>SUM(C202:C203)</f>
        <v>594.5</v>
      </c>
      <c r="D201" s="92">
        <f t="shared" ref="D201:U201" si="125">SUM(D202:D203)</f>
        <v>594.5</v>
      </c>
      <c r="E201" s="92">
        <f t="shared" si="125"/>
        <v>383.09999999999997</v>
      </c>
      <c r="F201" s="92">
        <f t="shared" si="125"/>
        <v>0</v>
      </c>
      <c r="G201" s="92">
        <f t="shared" si="125"/>
        <v>10.6</v>
      </c>
      <c r="H201" s="92">
        <f t="shared" si="125"/>
        <v>8.1000000000000014</v>
      </c>
      <c r="I201" s="92">
        <f t="shared" si="125"/>
        <v>0</v>
      </c>
      <c r="J201" s="92">
        <f t="shared" si="125"/>
        <v>0</v>
      </c>
      <c r="K201" s="92">
        <f t="shared" si="125"/>
        <v>0</v>
      </c>
      <c r="L201" s="92">
        <f t="shared" si="125"/>
        <v>0</v>
      </c>
      <c r="M201" s="92">
        <f t="shared" si="125"/>
        <v>268.8</v>
      </c>
      <c r="N201" s="92">
        <f t="shared" si="125"/>
        <v>199</v>
      </c>
      <c r="O201" s="92">
        <f t="shared" si="125"/>
        <v>0</v>
      </c>
      <c r="P201" s="92">
        <f t="shared" si="125"/>
        <v>33.200000000000003</v>
      </c>
      <c r="Q201" s="92">
        <f t="shared" si="125"/>
        <v>0</v>
      </c>
      <c r="R201" s="92">
        <f t="shared" si="125"/>
        <v>0</v>
      </c>
      <c r="S201" s="92">
        <f t="shared" si="125"/>
        <v>281.89999999999998</v>
      </c>
      <c r="T201" s="92">
        <f t="shared" si="125"/>
        <v>176</v>
      </c>
      <c r="U201" s="92">
        <f t="shared" si="125"/>
        <v>0</v>
      </c>
    </row>
    <row r="202" spans="1:21" ht="25.5" outlineLevel="2" x14ac:dyDescent="0.2">
      <c r="A202" s="108" t="s">
        <v>379</v>
      </c>
      <c r="B202" s="51" t="s">
        <v>380</v>
      </c>
      <c r="C202" s="93">
        <f>D202+F202</f>
        <v>591</v>
      </c>
      <c r="D202" s="94">
        <f t="shared" ref="D202:F203" si="126">G202+J202+M202+P202+S202</f>
        <v>591</v>
      </c>
      <c r="E202" s="94">
        <f t="shared" si="126"/>
        <v>380.4</v>
      </c>
      <c r="F202" s="94">
        <f t="shared" si="126"/>
        <v>0</v>
      </c>
      <c r="G202" s="95">
        <f>ROUND('[4]Pedagog DU didinimas'!$C$4/1000,1)</f>
        <v>7.1</v>
      </c>
      <c r="H202" s="95">
        <f>ROUND('[4]Pedagog DU didinimas'!$D$4/1000,1)</f>
        <v>5.4</v>
      </c>
      <c r="I202" s="95"/>
      <c r="J202" s="95"/>
      <c r="K202" s="95"/>
      <c r="L202" s="95"/>
      <c r="M202" s="95">
        <f>ROUND([4]Lapas1!$B$5/1000,1)+ROUND('[3]2017-06-28'!$M$194/1000,1)</f>
        <v>268.8</v>
      </c>
      <c r="N202" s="95">
        <f>ROUND([4]Lapas1!$C$5/1000,1)+ROUND('[3]2017-06-28'!$N$194/1000,1)</f>
        <v>199</v>
      </c>
      <c r="O202" s="95"/>
      <c r="P202" s="95">
        <f>BIP!G15+' 2016 m. nepanaudotos pajamos'!G32</f>
        <v>33.200000000000003</v>
      </c>
      <c r="Q202" s="95"/>
      <c r="R202" s="95"/>
      <c r="S202" s="95">
        <f>ROUND([7]Kregzdute!$R$9/1000,1)</f>
        <v>281.89999999999998</v>
      </c>
      <c r="T202" s="95">
        <f>ROUND([7]Kregzdute!$R$11/1000,1)</f>
        <v>176</v>
      </c>
      <c r="U202" s="95">
        <f>ROUND([7]Kregzdute!$R$55/1000,1)</f>
        <v>0</v>
      </c>
    </row>
    <row r="203" spans="1:21" outlineLevel="2" x14ac:dyDescent="0.2">
      <c r="A203" s="108" t="s">
        <v>615</v>
      </c>
      <c r="B203" s="51" t="s">
        <v>614</v>
      </c>
      <c r="C203" s="93">
        <f>D203+F203</f>
        <v>3.5</v>
      </c>
      <c r="D203" s="94">
        <f t="shared" si="126"/>
        <v>3.5</v>
      </c>
      <c r="E203" s="94">
        <f t="shared" si="126"/>
        <v>2.7</v>
      </c>
      <c r="F203" s="94">
        <f t="shared" si="126"/>
        <v>0</v>
      </c>
      <c r="G203" s="95">
        <f>ROUND('[3]2017-06-28'!$G$195/1000,1)</f>
        <v>3.5</v>
      </c>
      <c r="H203" s="95">
        <f>ROUND('[3]2017-06-28'!$H$195/1000,1)</f>
        <v>2.7</v>
      </c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</row>
    <row r="204" spans="1:21" s="42" customFormat="1" ht="24.95" customHeight="1" outlineLevel="1" x14ac:dyDescent="0.2">
      <c r="A204" s="104" t="s">
        <v>381</v>
      </c>
      <c r="B204" s="43" t="s">
        <v>276</v>
      </c>
      <c r="C204" s="92">
        <f t="shared" ref="C204:U204" si="127">SUM(C205)</f>
        <v>9.1</v>
      </c>
      <c r="D204" s="92">
        <f t="shared" si="127"/>
        <v>9.1</v>
      </c>
      <c r="E204" s="92">
        <f t="shared" si="127"/>
        <v>0</v>
      </c>
      <c r="F204" s="92">
        <f t="shared" si="127"/>
        <v>0</v>
      </c>
      <c r="G204" s="92">
        <f t="shared" si="127"/>
        <v>9.1</v>
      </c>
      <c r="H204" s="92">
        <f t="shared" si="127"/>
        <v>0</v>
      </c>
      <c r="I204" s="92">
        <f t="shared" si="127"/>
        <v>0</v>
      </c>
      <c r="J204" s="92">
        <f t="shared" si="127"/>
        <v>0</v>
      </c>
      <c r="K204" s="92">
        <f t="shared" si="127"/>
        <v>0</v>
      </c>
      <c r="L204" s="92">
        <f t="shared" si="127"/>
        <v>0</v>
      </c>
      <c r="M204" s="92">
        <f t="shared" si="127"/>
        <v>0</v>
      </c>
      <c r="N204" s="92">
        <f t="shared" si="127"/>
        <v>0</v>
      </c>
      <c r="O204" s="92">
        <f t="shared" si="127"/>
        <v>0</v>
      </c>
      <c r="P204" s="92">
        <f t="shared" si="127"/>
        <v>0</v>
      </c>
      <c r="Q204" s="92">
        <f t="shared" si="127"/>
        <v>0</v>
      </c>
      <c r="R204" s="92">
        <f t="shared" si="127"/>
        <v>0</v>
      </c>
      <c r="S204" s="92">
        <f t="shared" si="127"/>
        <v>0</v>
      </c>
      <c r="T204" s="92">
        <f t="shared" si="127"/>
        <v>0</v>
      </c>
      <c r="U204" s="92">
        <f t="shared" si="127"/>
        <v>0</v>
      </c>
    </row>
    <row r="205" spans="1:21" ht="25.5" outlineLevel="2" x14ac:dyDescent="0.2">
      <c r="A205" s="108" t="s">
        <v>382</v>
      </c>
      <c r="B205" s="51" t="s">
        <v>383</v>
      </c>
      <c r="C205" s="93">
        <f>D205+F205</f>
        <v>9.1</v>
      </c>
      <c r="D205" s="94">
        <f>G205+J205+M205+P205+S205</f>
        <v>9.1</v>
      </c>
      <c r="E205" s="94">
        <f>H205+K205+N205+Q205+T205</f>
        <v>0</v>
      </c>
      <c r="F205" s="94">
        <f>I205+L205+O205+R205+U205</f>
        <v>0</v>
      </c>
      <c r="G205" s="95">
        <f>ROUND([8]Lapas1!$D$11/1000,1)</f>
        <v>9.1</v>
      </c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</row>
    <row r="206" spans="1:21" s="42" customFormat="1" x14ac:dyDescent="0.2">
      <c r="A206" s="107" t="s">
        <v>384</v>
      </c>
      <c r="B206" s="52" t="s">
        <v>385</v>
      </c>
      <c r="C206" s="92">
        <f>C207+C209</f>
        <v>549.09999999999991</v>
      </c>
      <c r="D206" s="92">
        <f>D207+D209</f>
        <v>548.29999999999995</v>
      </c>
      <c r="E206" s="92">
        <f t="shared" ref="E206:H206" si="128">E207+E209</f>
        <v>338.3</v>
      </c>
      <c r="F206" s="92">
        <f t="shared" si="128"/>
        <v>0.8</v>
      </c>
      <c r="G206" s="92">
        <f t="shared" si="128"/>
        <v>15.4</v>
      </c>
      <c r="H206" s="92">
        <f t="shared" si="128"/>
        <v>4.9000000000000004</v>
      </c>
      <c r="I206" s="92">
        <f t="shared" ref="I206:U206" si="129">I207+I209</f>
        <v>0</v>
      </c>
      <c r="J206" s="92">
        <f t="shared" si="129"/>
        <v>0</v>
      </c>
      <c r="K206" s="92">
        <f t="shared" si="129"/>
        <v>0</v>
      </c>
      <c r="L206" s="92">
        <f t="shared" si="129"/>
        <v>0</v>
      </c>
      <c r="M206" s="92">
        <f t="shared" si="129"/>
        <v>249.4</v>
      </c>
      <c r="N206" s="92">
        <f t="shared" si="129"/>
        <v>184.6</v>
      </c>
      <c r="O206" s="92">
        <f t="shared" si="129"/>
        <v>0</v>
      </c>
      <c r="P206" s="92">
        <f t="shared" si="129"/>
        <v>32.6</v>
      </c>
      <c r="Q206" s="92">
        <f t="shared" si="129"/>
        <v>0</v>
      </c>
      <c r="R206" s="92">
        <f t="shared" si="129"/>
        <v>0</v>
      </c>
      <c r="S206" s="92">
        <f t="shared" si="129"/>
        <v>250.89999999999998</v>
      </c>
      <c r="T206" s="92">
        <f t="shared" si="129"/>
        <v>148.80000000000001</v>
      </c>
      <c r="U206" s="92">
        <f t="shared" si="129"/>
        <v>0.8</v>
      </c>
    </row>
    <row r="207" spans="1:21" s="42" customFormat="1" outlineLevel="1" x14ac:dyDescent="0.2">
      <c r="A207" s="104" t="s">
        <v>386</v>
      </c>
      <c r="B207" s="43" t="s">
        <v>262</v>
      </c>
      <c r="C207" s="92">
        <f t="shared" ref="C207:U207" si="130">SUM(C208)</f>
        <v>540.09999999999991</v>
      </c>
      <c r="D207" s="92">
        <f t="shared" si="130"/>
        <v>539.29999999999995</v>
      </c>
      <c r="E207" s="92">
        <f t="shared" si="130"/>
        <v>338.3</v>
      </c>
      <c r="F207" s="92">
        <f t="shared" si="130"/>
        <v>0.8</v>
      </c>
      <c r="G207" s="92">
        <f t="shared" si="130"/>
        <v>6.4</v>
      </c>
      <c r="H207" s="92">
        <f t="shared" si="130"/>
        <v>4.9000000000000004</v>
      </c>
      <c r="I207" s="92">
        <f t="shared" si="130"/>
        <v>0</v>
      </c>
      <c r="J207" s="92">
        <f t="shared" si="130"/>
        <v>0</v>
      </c>
      <c r="K207" s="92">
        <f t="shared" si="130"/>
        <v>0</v>
      </c>
      <c r="L207" s="92">
        <f t="shared" si="130"/>
        <v>0</v>
      </c>
      <c r="M207" s="92">
        <f t="shared" si="130"/>
        <v>249.4</v>
      </c>
      <c r="N207" s="92">
        <f t="shared" si="130"/>
        <v>184.6</v>
      </c>
      <c r="O207" s="92">
        <f t="shared" si="130"/>
        <v>0</v>
      </c>
      <c r="P207" s="92">
        <f t="shared" si="130"/>
        <v>32.6</v>
      </c>
      <c r="Q207" s="92">
        <f t="shared" si="130"/>
        <v>0</v>
      </c>
      <c r="R207" s="92">
        <f t="shared" si="130"/>
        <v>0</v>
      </c>
      <c r="S207" s="92">
        <f t="shared" si="130"/>
        <v>250.89999999999998</v>
      </c>
      <c r="T207" s="92">
        <f t="shared" si="130"/>
        <v>148.80000000000001</v>
      </c>
      <c r="U207" s="92">
        <f t="shared" si="130"/>
        <v>0.8</v>
      </c>
    </row>
    <row r="208" spans="1:21" ht="25.5" outlineLevel="2" x14ac:dyDescent="0.2">
      <c r="A208" s="108" t="s">
        <v>387</v>
      </c>
      <c r="B208" s="51" t="s">
        <v>380</v>
      </c>
      <c r="C208" s="93">
        <f>D208+F208</f>
        <v>540.09999999999991</v>
      </c>
      <c r="D208" s="94">
        <f>G208+J208+M208+P208+S208</f>
        <v>539.29999999999995</v>
      </c>
      <c r="E208" s="94">
        <f>H208+K208+N208+Q208+T208</f>
        <v>338.3</v>
      </c>
      <c r="F208" s="94">
        <f>I208+L208+O208+R208+U208</f>
        <v>0.8</v>
      </c>
      <c r="G208" s="95">
        <f>ROUND('[4]Pedagog DU didinimas'!$C$5/1000,1)</f>
        <v>6.4</v>
      </c>
      <c r="H208" s="95">
        <f>ROUND('[4]Pedagog DU didinimas'!$D$5/1000,1)</f>
        <v>4.9000000000000004</v>
      </c>
      <c r="I208" s="95"/>
      <c r="J208" s="95"/>
      <c r="K208" s="95"/>
      <c r="L208" s="95"/>
      <c r="M208" s="95">
        <f>ROUND([4]Lapas1!$B$6/1000,1)</f>
        <v>249.4</v>
      </c>
      <c r="N208" s="95">
        <f>ROUND([4]Lapas1!$C$6/1000,1)</f>
        <v>184.6</v>
      </c>
      <c r="O208" s="95"/>
      <c r="P208" s="95">
        <f>BIP!G16+' 2016 m. nepanaudotos pajamos'!G35</f>
        <v>32.6</v>
      </c>
      <c r="Q208" s="95"/>
      <c r="R208" s="95"/>
      <c r="S208" s="95">
        <f>ROUND([7]Vyturelis!$R$9/1000,1)+' 2016 m. nepanaudotos pajamos'!J35</f>
        <v>250.89999999999998</v>
      </c>
      <c r="T208" s="95">
        <f>ROUND([7]Vyturelis!$R$11/1000,1)</f>
        <v>148.80000000000001</v>
      </c>
      <c r="U208" s="95">
        <f>ROUND([7]Vyturelis!$R$57/1000,1)</f>
        <v>0.8</v>
      </c>
    </row>
    <row r="209" spans="1:21" s="42" customFormat="1" ht="24.95" customHeight="1" outlineLevel="1" x14ac:dyDescent="0.2">
      <c r="A209" s="104" t="s">
        <v>388</v>
      </c>
      <c r="B209" s="43" t="s">
        <v>276</v>
      </c>
      <c r="C209" s="92">
        <f t="shared" ref="C209:U209" si="131">SUM(C210)</f>
        <v>9</v>
      </c>
      <c r="D209" s="92">
        <f t="shared" si="131"/>
        <v>9</v>
      </c>
      <c r="E209" s="92">
        <f t="shared" si="131"/>
        <v>0</v>
      </c>
      <c r="F209" s="92">
        <f t="shared" si="131"/>
        <v>0</v>
      </c>
      <c r="G209" s="92">
        <f t="shared" si="131"/>
        <v>9</v>
      </c>
      <c r="H209" s="92">
        <f t="shared" si="131"/>
        <v>0</v>
      </c>
      <c r="I209" s="92">
        <f t="shared" si="131"/>
        <v>0</v>
      </c>
      <c r="J209" s="92">
        <f t="shared" si="131"/>
        <v>0</v>
      </c>
      <c r="K209" s="92">
        <f t="shared" si="131"/>
        <v>0</v>
      </c>
      <c r="L209" s="92">
        <f t="shared" si="131"/>
        <v>0</v>
      </c>
      <c r="M209" s="92">
        <f t="shared" si="131"/>
        <v>0</v>
      </c>
      <c r="N209" s="92">
        <f t="shared" si="131"/>
        <v>0</v>
      </c>
      <c r="O209" s="92">
        <f t="shared" si="131"/>
        <v>0</v>
      </c>
      <c r="P209" s="92">
        <f t="shared" si="131"/>
        <v>0</v>
      </c>
      <c r="Q209" s="92">
        <f t="shared" si="131"/>
        <v>0</v>
      </c>
      <c r="R209" s="92">
        <f t="shared" si="131"/>
        <v>0</v>
      </c>
      <c r="S209" s="92">
        <f t="shared" si="131"/>
        <v>0</v>
      </c>
      <c r="T209" s="92">
        <f t="shared" si="131"/>
        <v>0</v>
      </c>
      <c r="U209" s="92">
        <f t="shared" si="131"/>
        <v>0</v>
      </c>
    </row>
    <row r="210" spans="1:21" ht="25.5" outlineLevel="2" x14ac:dyDescent="0.2">
      <c r="A210" s="108" t="s">
        <v>389</v>
      </c>
      <c r="B210" s="51" t="s">
        <v>383</v>
      </c>
      <c r="C210" s="93">
        <f>D210+F210</f>
        <v>9</v>
      </c>
      <c r="D210" s="94">
        <f>G210+J210+M210+P210+S210</f>
        <v>9</v>
      </c>
      <c r="E210" s="94">
        <f>H210+K210+N210+Q210+T210</f>
        <v>0</v>
      </c>
      <c r="F210" s="94">
        <f>I210+L210+O210+R210+U210</f>
        <v>0</v>
      </c>
      <c r="G210" s="95">
        <f>ROUND([8]Lapas1!$D$12/1000,1)</f>
        <v>9</v>
      </c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</row>
    <row r="211" spans="1:21" s="42" customFormat="1" x14ac:dyDescent="0.2">
      <c r="A211" s="107" t="s">
        <v>390</v>
      </c>
      <c r="B211" s="52" t="s">
        <v>391</v>
      </c>
      <c r="C211" s="92">
        <f t="shared" ref="C211:U211" si="132">C212+C215</f>
        <v>302.2</v>
      </c>
      <c r="D211" s="92">
        <f t="shared" si="132"/>
        <v>302.2</v>
      </c>
      <c r="E211" s="92">
        <f t="shared" si="132"/>
        <v>200.3</v>
      </c>
      <c r="F211" s="92">
        <f t="shared" si="132"/>
        <v>0</v>
      </c>
      <c r="G211" s="92">
        <f t="shared" si="132"/>
        <v>23.1</v>
      </c>
      <c r="H211" s="92">
        <f t="shared" si="132"/>
        <v>7.8</v>
      </c>
      <c r="I211" s="92">
        <f t="shared" si="132"/>
        <v>0</v>
      </c>
      <c r="J211" s="92">
        <f t="shared" si="132"/>
        <v>0</v>
      </c>
      <c r="K211" s="92">
        <f t="shared" si="132"/>
        <v>0</v>
      </c>
      <c r="L211" s="92">
        <f t="shared" si="132"/>
        <v>0</v>
      </c>
      <c r="M211" s="92">
        <f t="shared" si="132"/>
        <v>209.5</v>
      </c>
      <c r="N211" s="92">
        <f t="shared" si="132"/>
        <v>154.9</v>
      </c>
      <c r="O211" s="92">
        <f t="shared" si="132"/>
        <v>0</v>
      </c>
      <c r="P211" s="92">
        <f t="shared" si="132"/>
        <v>0</v>
      </c>
      <c r="Q211" s="92">
        <f t="shared" si="132"/>
        <v>0</v>
      </c>
      <c r="R211" s="92">
        <f t="shared" si="132"/>
        <v>0</v>
      </c>
      <c r="S211" s="92">
        <f t="shared" si="132"/>
        <v>69.599999999999994</v>
      </c>
      <c r="T211" s="92">
        <f t="shared" si="132"/>
        <v>37.6</v>
      </c>
      <c r="U211" s="92">
        <f t="shared" si="132"/>
        <v>0</v>
      </c>
    </row>
    <row r="212" spans="1:21" s="42" customFormat="1" outlineLevel="1" x14ac:dyDescent="0.2">
      <c r="A212" s="104" t="s">
        <v>392</v>
      </c>
      <c r="B212" s="43" t="s">
        <v>262</v>
      </c>
      <c r="C212" s="92">
        <f>SUM(C213:C214)</f>
        <v>289.2</v>
      </c>
      <c r="D212" s="92">
        <f t="shared" ref="D212:T212" si="133">SUM(D213:D214)</f>
        <v>289.2</v>
      </c>
      <c r="E212" s="92">
        <f t="shared" si="133"/>
        <v>200.3</v>
      </c>
      <c r="F212" s="92">
        <f t="shared" si="133"/>
        <v>0</v>
      </c>
      <c r="G212" s="92">
        <f t="shared" si="133"/>
        <v>10.1</v>
      </c>
      <c r="H212" s="92">
        <f t="shared" si="133"/>
        <v>7.8</v>
      </c>
      <c r="I212" s="92">
        <f t="shared" si="133"/>
        <v>0</v>
      </c>
      <c r="J212" s="92">
        <f t="shared" si="133"/>
        <v>0</v>
      </c>
      <c r="K212" s="92">
        <f t="shared" si="133"/>
        <v>0</v>
      </c>
      <c r="L212" s="92">
        <f t="shared" si="133"/>
        <v>0</v>
      </c>
      <c r="M212" s="92">
        <f t="shared" si="133"/>
        <v>209.5</v>
      </c>
      <c r="N212" s="92">
        <f t="shared" si="133"/>
        <v>154.9</v>
      </c>
      <c r="O212" s="92">
        <f t="shared" si="133"/>
        <v>0</v>
      </c>
      <c r="P212" s="92">
        <f t="shared" si="133"/>
        <v>0</v>
      </c>
      <c r="Q212" s="92">
        <f t="shared" si="133"/>
        <v>0</v>
      </c>
      <c r="R212" s="92">
        <f t="shared" si="133"/>
        <v>0</v>
      </c>
      <c r="S212" s="92">
        <f t="shared" si="133"/>
        <v>69.599999999999994</v>
      </c>
      <c r="T212" s="92">
        <f t="shared" si="133"/>
        <v>37.6</v>
      </c>
      <c r="U212" s="92">
        <f>SUM(U213:U214)</f>
        <v>0</v>
      </c>
    </row>
    <row r="213" spans="1:21" ht="25.5" outlineLevel="2" x14ac:dyDescent="0.2">
      <c r="A213" s="108" t="s">
        <v>393</v>
      </c>
      <c r="B213" s="51" t="s">
        <v>380</v>
      </c>
      <c r="C213" s="93">
        <f>D213+F213</f>
        <v>284.7</v>
      </c>
      <c r="D213" s="94">
        <f t="shared" ref="D213:F214" si="134">G213+J213+M213+P213+S213</f>
        <v>284.7</v>
      </c>
      <c r="E213" s="94">
        <f t="shared" si="134"/>
        <v>196.8</v>
      </c>
      <c r="F213" s="94">
        <f t="shared" si="134"/>
        <v>0</v>
      </c>
      <c r="G213" s="95">
        <f>ROUND('[4]Pedagog DU didinimas'!$C$9/1000,1)</f>
        <v>5.6</v>
      </c>
      <c r="H213" s="95">
        <f>ROUND('[4]Pedagog DU didinimas'!$D$9/1000,1)</f>
        <v>4.3</v>
      </c>
      <c r="I213" s="95"/>
      <c r="J213" s="95"/>
      <c r="K213" s="95"/>
      <c r="L213" s="95"/>
      <c r="M213" s="95">
        <f>ROUND([4]Lapas1!$B$10/1000,1)</f>
        <v>209.5</v>
      </c>
      <c r="N213" s="95">
        <f>ROUND([4]Lapas1!$C$10/1000,1)</f>
        <v>154.9</v>
      </c>
      <c r="O213" s="95"/>
      <c r="P213" s="95"/>
      <c r="Q213" s="95"/>
      <c r="R213" s="95"/>
      <c r="S213" s="95">
        <f>ROUND('[7]A. Kirsnos mokykla'!$R$9/1000,1)</f>
        <v>69.599999999999994</v>
      </c>
      <c r="T213" s="95">
        <f>ROUND('[7]A. Kirsnos mokykla'!$R$11/1000,1)</f>
        <v>37.6</v>
      </c>
      <c r="U213" s="95">
        <f>ROUND('[7]A. Kirsnos mokykla'!$R$49/1000,1)</f>
        <v>0</v>
      </c>
    </row>
    <row r="214" spans="1:21" outlineLevel="2" x14ac:dyDescent="0.2">
      <c r="A214" s="108" t="s">
        <v>616</v>
      </c>
      <c r="B214" s="51" t="s">
        <v>614</v>
      </c>
      <c r="C214" s="93">
        <f>D214+F214</f>
        <v>4.5</v>
      </c>
      <c r="D214" s="94">
        <f t="shared" si="134"/>
        <v>4.5</v>
      </c>
      <c r="E214" s="94">
        <f t="shared" si="134"/>
        <v>3.5</v>
      </c>
      <c r="F214" s="94">
        <f t="shared" si="134"/>
        <v>0</v>
      </c>
      <c r="G214" s="95">
        <f>ROUND('[3]2017-06-28'!$G$206/1000,1)</f>
        <v>4.5</v>
      </c>
      <c r="H214" s="95">
        <f>ROUND('[3]2017-06-28'!$H$206/1000,1)</f>
        <v>3.5</v>
      </c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</row>
    <row r="215" spans="1:21" s="42" customFormat="1" ht="24.95" customHeight="1" outlineLevel="1" x14ac:dyDescent="0.2">
      <c r="A215" s="104" t="s">
        <v>394</v>
      </c>
      <c r="B215" s="43" t="s">
        <v>276</v>
      </c>
      <c r="C215" s="92">
        <f t="shared" ref="C215:U215" si="135">SUM(C216)</f>
        <v>13</v>
      </c>
      <c r="D215" s="92">
        <f t="shared" si="135"/>
        <v>13</v>
      </c>
      <c r="E215" s="92">
        <f t="shared" si="135"/>
        <v>0</v>
      </c>
      <c r="F215" s="92">
        <f t="shared" si="135"/>
        <v>0</v>
      </c>
      <c r="G215" s="92">
        <f t="shared" si="135"/>
        <v>13</v>
      </c>
      <c r="H215" s="92">
        <f t="shared" si="135"/>
        <v>0</v>
      </c>
      <c r="I215" s="92">
        <f t="shared" si="135"/>
        <v>0</v>
      </c>
      <c r="J215" s="92">
        <f t="shared" si="135"/>
        <v>0</v>
      </c>
      <c r="K215" s="92">
        <f t="shared" si="135"/>
        <v>0</v>
      </c>
      <c r="L215" s="92">
        <f t="shared" si="135"/>
        <v>0</v>
      </c>
      <c r="M215" s="92">
        <f t="shared" si="135"/>
        <v>0</v>
      </c>
      <c r="N215" s="92">
        <f t="shared" si="135"/>
        <v>0</v>
      </c>
      <c r="O215" s="92">
        <f t="shared" si="135"/>
        <v>0</v>
      </c>
      <c r="P215" s="92">
        <f t="shared" si="135"/>
        <v>0</v>
      </c>
      <c r="Q215" s="92">
        <f t="shared" si="135"/>
        <v>0</v>
      </c>
      <c r="R215" s="92">
        <f t="shared" si="135"/>
        <v>0</v>
      </c>
      <c r="S215" s="92">
        <f t="shared" si="135"/>
        <v>0</v>
      </c>
      <c r="T215" s="92">
        <f t="shared" si="135"/>
        <v>0</v>
      </c>
      <c r="U215" s="92">
        <f t="shared" si="135"/>
        <v>0</v>
      </c>
    </row>
    <row r="216" spans="1:21" ht="25.5" outlineLevel="2" x14ac:dyDescent="0.2">
      <c r="A216" s="108" t="s">
        <v>395</v>
      </c>
      <c r="B216" s="51" t="s">
        <v>383</v>
      </c>
      <c r="C216" s="93">
        <f>D216+F216</f>
        <v>13</v>
      </c>
      <c r="D216" s="94">
        <f>G216+J216+M216+P216+S216</f>
        <v>13</v>
      </c>
      <c r="E216" s="94">
        <f>H216+K216+N216+Q216+T216</f>
        <v>0</v>
      </c>
      <c r="F216" s="94">
        <f>I216+L216+O216+R216+U216</f>
        <v>0</v>
      </c>
      <c r="G216" s="95">
        <f>ROUND([8]Lapas1!$D$7/1000,1)</f>
        <v>13</v>
      </c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</row>
    <row r="217" spans="1:21" s="42" customFormat="1" x14ac:dyDescent="0.2">
      <c r="A217" s="107" t="s">
        <v>396</v>
      </c>
      <c r="B217" s="52" t="s">
        <v>397</v>
      </c>
      <c r="C217" s="92">
        <f t="shared" ref="C217:U217" si="136">C218+C220</f>
        <v>340.20000000000005</v>
      </c>
      <c r="D217" s="92">
        <f t="shared" si="136"/>
        <v>340.20000000000005</v>
      </c>
      <c r="E217" s="92">
        <f t="shared" si="136"/>
        <v>215.2</v>
      </c>
      <c r="F217" s="92">
        <f t="shared" si="136"/>
        <v>0</v>
      </c>
      <c r="G217" s="92">
        <f t="shared" si="136"/>
        <v>16.600000000000001</v>
      </c>
      <c r="H217" s="92">
        <f t="shared" si="136"/>
        <v>4.3</v>
      </c>
      <c r="I217" s="92">
        <f t="shared" si="136"/>
        <v>0</v>
      </c>
      <c r="J217" s="92">
        <f t="shared" si="136"/>
        <v>0</v>
      </c>
      <c r="K217" s="92">
        <f t="shared" si="136"/>
        <v>0</v>
      </c>
      <c r="L217" s="92">
        <f t="shared" si="136"/>
        <v>0</v>
      </c>
      <c r="M217" s="92">
        <f t="shared" si="136"/>
        <v>222.8</v>
      </c>
      <c r="N217" s="92">
        <f t="shared" si="136"/>
        <v>166.7</v>
      </c>
      <c r="O217" s="92">
        <f t="shared" si="136"/>
        <v>0</v>
      </c>
      <c r="P217" s="92">
        <f t="shared" si="136"/>
        <v>1.8</v>
      </c>
      <c r="Q217" s="92">
        <f t="shared" si="136"/>
        <v>0</v>
      </c>
      <c r="R217" s="92">
        <f t="shared" si="136"/>
        <v>0</v>
      </c>
      <c r="S217" s="92">
        <f t="shared" si="136"/>
        <v>99</v>
      </c>
      <c r="T217" s="92">
        <f t="shared" si="136"/>
        <v>44.2</v>
      </c>
      <c r="U217" s="92">
        <f t="shared" si="136"/>
        <v>0</v>
      </c>
    </row>
    <row r="218" spans="1:21" s="42" customFormat="1" outlineLevel="1" x14ac:dyDescent="0.2">
      <c r="A218" s="104" t="s">
        <v>398</v>
      </c>
      <c r="B218" s="43" t="s">
        <v>262</v>
      </c>
      <c r="C218" s="92">
        <f t="shared" ref="C218:U218" si="137">SUM(C219)</f>
        <v>329.20000000000005</v>
      </c>
      <c r="D218" s="92">
        <f t="shared" si="137"/>
        <v>329.20000000000005</v>
      </c>
      <c r="E218" s="92">
        <f t="shared" si="137"/>
        <v>215.2</v>
      </c>
      <c r="F218" s="92">
        <f t="shared" si="137"/>
        <v>0</v>
      </c>
      <c r="G218" s="92">
        <f t="shared" si="137"/>
        <v>5.6</v>
      </c>
      <c r="H218" s="92">
        <f t="shared" si="137"/>
        <v>4.3</v>
      </c>
      <c r="I218" s="92">
        <f t="shared" si="137"/>
        <v>0</v>
      </c>
      <c r="J218" s="92">
        <f t="shared" si="137"/>
        <v>0</v>
      </c>
      <c r="K218" s="92">
        <f t="shared" si="137"/>
        <v>0</v>
      </c>
      <c r="L218" s="92">
        <f t="shared" si="137"/>
        <v>0</v>
      </c>
      <c r="M218" s="92">
        <f t="shared" si="137"/>
        <v>222.8</v>
      </c>
      <c r="N218" s="92">
        <f t="shared" si="137"/>
        <v>166.7</v>
      </c>
      <c r="O218" s="92">
        <f t="shared" si="137"/>
        <v>0</v>
      </c>
      <c r="P218" s="92">
        <f t="shared" si="137"/>
        <v>1.8</v>
      </c>
      <c r="Q218" s="92">
        <f t="shared" si="137"/>
        <v>0</v>
      </c>
      <c r="R218" s="92">
        <f t="shared" si="137"/>
        <v>0</v>
      </c>
      <c r="S218" s="92">
        <f t="shared" si="137"/>
        <v>99</v>
      </c>
      <c r="T218" s="92">
        <f t="shared" si="137"/>
        <v>44.2</v>
      </c>
      <c r="U218" s="92">
        <f t="shared" si="137"/>
        <v>0</v>
      </c>
    </row>
    <row r="219" spans="1:21" ht="25.5" outlineLevel="2" x14ac:dyDescent="0.2">
      <c r="A219" s="108" t="s">
        <v>399</v>
      </c>
      <c r="B219" s="51" t="s">
        <v>380</v>
      </c>
      <c r="C219" s="93">
        <f>D219+F219</f>
        <v>329.20000000000005</v>
      </c>
      <c r="D219" s="94">
        <f>G219+J219+M219+P219+S219</f>
        <v>329.20000000000005</v>
      </c>
      <c r="E219" s="94">
        <f>H219+K219+N219+Q219+T219</f>
        <v>215.2</v>
      </c>
      <c r="F219" s="94">
        <f>I219+L219+O219+R219+U219</f>
        <v>0</v>
      </c>
      <c r="G219" s="95">
        <f>ROUND('[4]Pedagog DU didinimas'!$C$10/1000,1)</f>
        <v>5.6</v>
      </c>
      <c r="H219" s="95">
        <f>ROUND('[4]Pedagog DU didinimas'!$D$10/1000,1)</f>
        <v>4.3</v>
      </c>
      <c r="I219" s="95"/>
      <c r="J219" s="95"/>
      <c r="K219" s="95"/>
      <c r="L219" s="95"/>
      <c r="M219" s="95">
        <f>ROUND([4]Lapas1!$B$11/1000,1)</f>
        <v>222.8</v>
      </c>
      <c r="N219" s="95">
        <f>ROUND([4]Lapas1!$C$11/1000,1)</f>
        <v>166.7</v>
      </c>
      <c r="O219" s="95"/>
      <c r="P219" s="95">
        <f>BIP!G19</f>
        <v>1.8</v>
      </c>
      <c r="Q219" s="95"/>
      <c r="R219" s="95"/>
      <c r="S219" s="95">
        <f>ROUND('[7]Kapčiamiesčio mokykla'!$R$9/1000,1)</f>
        <v>99</v>
      </c>
      <c r="T219" s="95">
        <f>ROUND('[7]Kapčiamiesčio mokykla'!$R$11/1000,1)</f>
        <v>44.2</v>
      </c>
      <c r="U219" s="95">
        <f>ROUND('[7]Kapčiamiesčio mokykla'!$R$64/1000,1)</f>
        <v>0</v>
      </c>
    </row>
    <row r="220" spans="1:21" s="42" customFormat="1" ht="24.95" customHeight="1" outlineLevel="1" x14ac:dyDescent="0.2">
      <c r="A220" s="104" t="s">
        <v>400</v>
      </c>
      <c r="B220" s="43" t="s">
        <v>276</v>
      </c>
      <c r="C220" s="92">
        <f t="shared" ref="C220:U220" si="138">SUM(C221)</f>
        <v>11</v>
      </c>
      <c r="D220" s="92">
        <f t="shared" si="138"/>
        <v>11</v>
      </c>
      <c r="E220" s="92">
        <f t="shared" si="138"/>
        <v>0</v>
      </c>
      <c r="F220" s="92">
        <f t="shared" si="138"/>
        <v>0</v>
      </c>
      <c r="G220" s="92">
        <f t="shared" si="138"/>
        <v>11</v>
      </c>
      <c r="H220" s="92">
        <f t="shared" si="138"/>
        <v>0</v>
      </c>
      <c r="I220" s="92">
        <f t="shared" si="138"/>
        <v>0</v>
      </c>
      <c r="J220" s="92">
        <f t="shared" si="138"/>
        <v>0</v>
      </c>
      <c r="K220" s="92">
        <f t="shared" si="138"/>
        <v>0</v>
      </c>
      <c r="L220" s="92">
        <f t="shared" si="138"/>
        <v>0</v>
      </c>
      <c r="M220" s="92">
        <f t="shared" si="138"/>
        <v>0</v>
      </c>
      <c r="N220" s="92">
        <f t="shared" si="138"/>
        <v>0</v>
      </c>
      <c r="O220" s="92">
        <f t="shared" si="138"/>
        <v>0</v>
      </c>
      <c r="P220" s="92">
        <f t="shared" si="138"/>
        <v>0</v>
      </c>
      <c r="Q220" s="92">
        <f t="shared" si="138"/>
        <v>0</v>
      </c>
      <c r="R220" s="92">
        <f t="shared" si="138"/>
        <v>0</v>
      </c>
      <c r="S220" s="92">
        <f t="shared" si="138"/>
        <v>0</v>
      </c>
      <c r="T220" s="92">
        <f t="shared" si="138"/>
        <v>0</v>
      </c>
      <c r="U220" s="92">
        <f t="shared" si="138"/>
        <v>0</v>
      </c>
    </row>
    <row r="221" spans="1:21" ht="25.5" outlineLevel="2" x14ac:dyDescent="0.2">
      <c r="A221" s="108" t="s">
        <v>401</v>
      </c>
      <c r="B221" s="51" t="s">
        <v>383</v>
      </c>
      <c r="C221" s="93">
        <f>D221+F221</f>
        <v>11</v>
      </c>
      <c r="D221" s="94">
        <f>G221+J221+M221+P221+S221</f>
        <v>11</v>
      </c>
      <c r="E221" s="94">
        <f>H221+K221+N221+Q221+T221</f>
        <v>0</v>
      </c>
      <c r="F221" s="94">
        <f>I221+L221+O221+R221+U221</f>
        <v>0</v>
      </c>
      <c r="G221" s="95">
        <f>ROUND([8]Lapas1!$D$8/1000,1)</f>
        <v>11</v>
      </c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</row>
    <row r="222" spans="1:21" s="42" customFormat="1" x14ac:dyDescent="0.2">
      <c r="A222" s="107" t="s">
        <v>402</v>
      </c>
      <c r="B222" s="52" t="s">
        <v>403</v>
      </c>
      <c r="C222" s="92">
        <f t="shared" ref="C222:U222" si="139">C223+C225</f>
        <v>358</v>
      </c>
      <c r="D222" s="92">
        <f t="shared" si="139"/>
        <v>358</v>
      </c>
      <c r="E222" s="92">
        <f t="shared" si="139"/>
        <v>227.2</v>
      </c>
      <c r="F222" s="92">
        <f t="shared" si="139"/>
        <v>0</v>
      </c>
      <c r="G222" s="92">
        <f t="shared" si="139"/>
        <v>13.5</v>
      </c>
      <c r="H222" s="92">
        <f t="shared" si="139"/>
        <v>4.2</v>
      </c>
      <c r="I222" s="92">
        <f t="shared" si="139"/>
        <v>0</v>
      </c>
      <c r="J222" s="92">
        <f t="shared" si="139"/>
        <v>0</v>
      </c>
      <c r="K222" s="92">
        <f t="shared" si="139"/>
        <v>0</v>
      </c>
      <c r="L222" s="92">
        <f t="shared" si="139"/>
        <v>0</v>
      </c>
      <c r="M222" s="92">
        <f t="shared" si="139"/>
        <v>204.4</v>
      </c>
      <c r="N222" s="92">
        <f t="shared" si="139"/>
        <v>154.19999999999999</v>
      </c>
      <c r="O222" s="92">
        <f t="shared" si="139"/>
        <v>0</v>
      </c>
      <c r="P222" s="92">
        <f t="shared" si="139"/>
        <v>4.1000000000000005</v>
      </c>
      <c r="Q222" s="92">
        <f t="shared" si="139"/>
        <v>0</v>
      </c>
      <c r="R222" s="92">
        <f t="shared" si="139"/>
        <v>0</v>
      </c>
      <c r="S222" s="92">
        <f t="shared" si="139"/>
        <v>136</v>
      </c>
      <c r="T222" s="92">
        <f t="shared" si="139"/>
        <v>68.8</v>
      </c>
      <c r="U222" s="92">
        <f t="shared" si="139"/>
        <v>0</v>
      </c>
    </row>
    <row r="223" spans="1:21" s="42" customFormat="1" outlineLevel="1" x14ac:dyDescent="0.2">
      <c r="A223" s="104" t="s">
        <v>404</v>
      </c>
      <c r="B223" s="43" t="s">
        <v>262</v>
      </c>
      <c r="C223" s="92">
        <f t="shared" ref="C223:U223" si="140">SUM(C224)</f>
        <v>350</v>
      </c>
      <c r="D223" s="92">
        <f t="shared" si="140"/>
        <v>350</v>
      </c>
      <c r="E223" s="92">
        <f t="shared" si="140"/>
        <v>227.2</v>
      </c>
      <c r="F223" s="92">
        <f t="shared" si="140"/>
        <v>0</v>
      </c>
      <c r="G223" s="92">
        <f t="shared" si="140"/>
        <v>5.5</v>
      </c>
      <c r="H223" s="92">
        <f t="shared" si="140"/>
        <v>4.2</v>
      </c>
      <c r="I223" s="92">
        <f t="shared" si="140"/>
        <v>0</v>
      </c>
      <c r="J223" s="92">
        <f t="shared" si="140"/>
        <v>0</v>
      </c>
      <c r="K223" s="92">
        <f t="shared" si="140"/>
        <v>0</v>
      </c>
      <c r="L223" s="92">
        <f t="shared" si="140"/>
        <v>0</v>
      </c>
      <c r="M223" s="92">
        <f t="shared" si="140"/>
        <v>204.4</v>
      </c>
      <c r="N223" s="92">
        <f t="shared" si="140"/>
        <v>154.19999999999999</v>
      </c>
      <c r="O223" s="92">
        <f t="shared" si="140"/>
        <v>0</v>
      </c>
      <c r="P223" s="92">
        <f t="shared" si="140"/>
        <v>4.1000000000000005</v>
      </c>
      <c r="Q223" s="92">
        <f t="shared" si="140"/>
        <v>0</v>
      </c>
      <c r="R223" s="92">
        <f t="shared" si="140"/>
        <v>0</v>
      </c>
      <c r="S223" s="92">
        <f t="shared" si="140"/>
        <v>136</v>
      </c>
      <c r="T223" s="92">
        <f t="shared" si="140"/>
        <v>68.8</v>
      </c>
      <c r="U223" s="92">
        <f t="shared" si="140"/>
        <v>0</v>
      </c>
    </row>
    <row r="224" spans="1:21" ht="25.5" outlineLevel="2" x14ac:dyDescent="0.2">
      <c r="A224" s="108" t="s">
        <v>405</v>
      </c>
      <c r="B224" s="51" t="s">
        <v>380</v>
      </c>
      <c r="C224" s="93">
        <f>D224+F224</f>
        <v>350</v>
      </c>
      <c r="D224" s="94">
        <f>G224+J224+M224+P224+S224</f>
        <v>350</v>
      </c>
      <c r="E224" s="94">
        <f>H224+K224+N224+Q224+T224</f>
        <v>227.2</v>
      </c>
      <c r="F224" s="94">
        <f>I224+L224+O224+R224+U224</f>
        <v>0</v>
      </c>
      <c r="G224" s="95">
        <f>ROUND('[4]Pedagog DU didinimas'!$C$12/1000,1)</f>
        <v>5.5</v>
      </c>
      <c r="H224" s="95">
        <f>ROUND('[4]Pedagog DU didinimas'!$D$12/1000,1)</f>
        <v>4.2</v>
      </c>
      <c r="I224" s="95"/>
      <c r="J224" s="95"/>
      <c r="K224" s="95"/>
      <c r="L224" s="95"/>
      <c r="M224" s="95">
        <f>ROUND([4]Lapas1!$B$13/1000,1)</f>
        <v>204.4</v>
      </c>
      <c r="N224" s="95">
        <f>ROUND([4]Lapas1!$C$13/1000,1)</f>
        <v>154.19999999999999</v>
      </c>
      <c r="O224" s="95"/>
      <c r="P224" s="95">
        <f>BIP!G20</f>
        <v>4.1000000000000005</v>
      </c>
      <c r="Q224" s="95"/>
      <c r="R224" s="95"/>
      <c r="S224" s="95">
        <f>ROUND('[7]Krosnos mokykla'!$R$9/1000,1)+ROUND('[3]2017-06-28'!$S$216/1000,1)</f>
        <v>136</v>
      </c>
      <c r="T224" s="95">
        <f>ROUND('[7]Krosnos mokykla'!$R$11/1000,1)</f>
        <v>68.8</v>
      </c>
      <c r="U224" s="95">
        <f>ROUND('[7]Krosnos mokykla'!$R$54/1000,1)</f>
        <v>0</v>
      </c>
    </row>
    <row r="225" spans="1:21" s="42" customFormat="1" ht="24.95" customHeight="1" outlineLevel="1" x14ac:dyDescent="0.2">
      <c r="A225" s="104" t="s">
        <v>406</v>
      </c>
      <c r="B225" s="43" t="s">
        <v>276</v>
      </c>
      <c r="C225" s="92">
        <f t="shared" ref="C225:U225" si="141">SUM(C226)</f>
        <v>8</v>
      </c>
      <c r="D225" s="92">
        <f t="shared" si="141"/>
        <v>8</v>
      </c>
      <c r="E225" s="92">
        <f t="shared" si="141"/>
        <v>0</v>
      </c>
      <c r="F225" s="92">
        <f t="shared" si="141"/>
        <v>0</v>
      </c>
      <c r="G225" s="92">
        <f t="shared" si="141"/>
        <v>8</v>
      </c>
      <c r="H225" s="92">
        <f t="shared" si="141"/>
        <v>0</v>
      </c>
      <c r="I225" s="92">
        <f t="shared" si="141"/>
        <v>0</v>
      </c>
      <c r="J225" s="92">
        <f t="shared" si="141"/>
        <v>0</v>
      </c>
      <c r="K225" s="92">
        <f t="shared" si="141"/>
        <v>0</v>
      </c>
      <c r="L225" s="92">
        <f t="shared" si="141"/>
        <v>0</v>
      </c>
      <c r="M225" s="92">
        <f t="shared" si="141"/>
        <v>0</v>
      </c>
      <c r="N225" s="92">
        <f t="shared" si="141"/>
        <v>0</v>
      </c>
      <c r="O225" s="92">
        <f t="shared" si="141"/>
        <v>0</v>
      </c>
      <c r="P225" s="92">
        <f t="shared" si="141"/>
        <v>0</v>
      </c>
      <c r="Q225" s="92">
        <f t="shared" si="141"/>
        <v>0</v>
      </c>
      <c r="R225" s="92">
        <f t="shared" si="141"/>
        <v>0</v>
      </c>
      <c r="S225" s="92">
        <f t="shared" si="141"/>
        <v>0</v>
      </c>
      <c r="T225" s="92">
        <f t="shared" si="141"/>
        <v>0</v>
      </c>
      <c r="U225" s="92">
        <f t="shared" si="141"/>
        <v>0</v>
      </c>
    </row>
    <row r="226" spans="1:21" ht="25.5" outlineLevel="2" x14ac:dyDescent="0.2">
      <c r="A226" s="108" t="s">
        <v>407</v>
      </c>
      <c r="B226" s="51" t="s">
        <v>383</v>
      </c>
      <c r="C226" s="93">
        <f>D226+F226</f>
        <v>8</v>
      </c>
      <c r="D226" s="94">
        <f>G226+J226+M226+P226+S226</f>
        <v>8</v>
      </c>
      <c r="E226" s="94">
        <f>H226+K226+N226+Q226+T226</f>
        <v>0</v>
      </c>
      <c r="F226" s="94">
        <f>I226+L226+O226+R226+U226</f>
        <v>0</v>
      </c>
      <c r="G226" s="95">
        <f>ROUND([8]Lapas1!$D$9/1000,1)</f>
        <v>8</v>
      </c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</row>
    <row r="227" spans="1:21" s="42" customFormat="1" x14ac:dyDescent="0.2">
      <c r="A227" s="107" t="s">
        <v>408</v>
      </c>
      <c r="B227" s="52" t="s">
        <v>409</v>
      </c>
      <c r="C227" s="92">
        <f t="shared" ref="C227:U227" si="142">C228+C230</f>
        <v>257.39999999999998</v>
      </c>
      <c r="D227" s="92">
        <f t="shared" si="142"/>
        <v>257.39999999999998</v>
      </c>
      <c r="E227" s="92">
        <f t="shared" si="142"/>
        <v>163</v>
      </c>
      <c r="F227" s="92">
        <f t="shared" si="142"/>
        <v>0</v>
      </c>
      <c r="G227" s="92">
        <f t="shared" si="142"/>
        <v>15.5</v>
      </c>
      <c r="H227" s="92">
        <f t="shared" si="142"/>
        <v>3.5</v>
      </c>
      <c r="I227" s="92">
        <f t="shared" si="142"/>
        <v>0</v>
      </c>
      <c r="J227" s="92">
        <f t="shared" si="142"/>
        <v>0</v>
      </c>
      <c r="K227" s="92">
        <f t="shared" si="142"/>
        <v>0</v>
      </c>
      <c r="L227" s="92">
        <f t="shared" si="142"/>
        <v>0</v>
      </c>
      <c r="M227" s="92">
        <f t="shared" si="142"/>
        <v>166.6</v>
      </c>
      <c r="N227" s="92">
        <f t="shared" si="142"/>
        <v>123.1</v>
      </c>
      <c r="O227" s="92">
        <f t="shared" si="142"/>
        <v>0</v>
      </c>
      <c r="P227" s="92">
        <f t="shared" si="142"/>
        <v>0.2</v>
      </c>
      <c r="Q227" s="92">
        <f t="shared" si="142"/>
        <v>0</v>
      </c>
      <c r="R227" s="92">
        <f t="shared" si="142"/>
        <v>0</v>
      </c>
      <c r="S227" s="92">
        <f t="shared" si="142"/>
        <v>75.099999999999994</v>
      </c>
      <c r="T227" s="92">
        <f t="shared" si="142"/>
        <v>36.4</v>
      </c>
      <c r="U227" s="92">
        <f t="shared" si="142"/>
        <v>0</v>
      </c>
    </row>
    <row r="228" spans="1:21" s="42" customFormat="1" outlineLevel="1" x14ac:dyDescent="0.2">
      <c r="A228" s="104" t="s">
        <v>410</v>
      </c>
      <c r="B228" s="43" t="s">
        <v>262</v>
      </c>
      <c r="C228" s="92">
        <f t="shared" ref="C228:U228" si="143">SUM(C229)</f>
        <v>246.39999999999998</v>
      </c>
      <c r="D228" s="92">
        <f t="shared" si="143"/>
        <v>246.39999999999998</v>
      </c>
      <c r="E228" s="92">
        <f t="shared" si="143"/>
        <v>163</v>
      </c>
      <c r="F228" s="92">
        <f t="shared" si="143"/>
        <v>0</v>
      </c>
      <c r="G228" s="92">
        <f t="shared" si="143"/>
        <v>4.5</v>
      </c>
      <c r="H228" s="92">
        <f t="shared" si="143"/>
        <v>3.5</v>
      </c>
      <c r="I228" s="92">
        <f t="shared" si="143"/>
        <v>0</v>
      </c>
      <c r="J228" s="92">
        <f t="shared" si="143"/>
        <v>0</v>
      </c>
      <c r="K228" s="92">
        <f t="shared" si="143"/>
        <v>0</v>
      </c>
      <c r="L228" s="92">
        <f t="shared" si="143"/>
        <v>0</v>
      </c>
      <c r="M228" s="92">
        <f t="shared" si="143"/>
        <v>166.6</v>
      </c>
      <c r="N228" s="92">
        <f t="shared" si="143"/>
        <v>123.1</v>
      </c>
      <c r="O228" s="92">
        <f t="shared" si="143"/>
        <v>0</v>
      </c>
      <c r="P228" s="92">
        <f t="shared" si="143"/>
        <v>0.2</v>
      </c>
      <c r="Q228" s="92">
        <f t="shared" si="143"/>
        <v>0</v>
      </c>
      <c r="R228" s="92">
        <f t="shared" si="143"/>
        <v>0</v>
      </c>
      <c r="S228" s="92">
        <f t="shared" si="143"/>
        <v>75.099999999999994</v>
      </c>
      <c r="T228" s="92">
        <f t="shared" si="143"/>
        <v>36.4</v>
      </c>
      <c r="U228" s="92">
        <f t="shared" si="143"/>
        <v>0</v>
      </c>
    </row>
    <row r="229" spans="1:21" ht="25.5" outlineLevel="2" x14ac:dyDescent="0.2">
      <c r="A229" s="108" t="s">
        <v>411</v>
      </c>
      <c r="B229" s="51" t="s">
        <v>380</v>
      </c>
      <c r="C229" s="93">
        <f>D229+F229</f>
        <v>246.39999999999998</v>
      </c>
      <c r="D229" s="94">
        <f>G229+J229+M229+P229+S229</f>
        <v>246.39999999999998</v>
      </c>
      <c r="E229" s="94">
        <f>H229+K229+N229+Q229+T229</f>
        <v>163</v>
      </c>
      <c r="F229" s="94">
        <f>I229+L229+O229+R229+U229</f>
        <v>0</v>
      </c>
      <c r="G229" s="95">
        <f>ROUND('[4]Pedagog DU didinimas'!$C$13/1000,1)</f>
        <v>4.5</v>
      </c>
      <c r="H229" s="95">
        <f>ROUND('[4]Pedagog DU didinimas'!$D$13/1000,1)</f>
        <v>3.5</v>
      </c>
      <c r="I229" s="95"/>
      <c r="J229" s="95"/>
      <c r="K229" s="95"/>
      <c r="L229" s="95"/>
      <c r="M229" s="95">
        <f>ROUND([4]Lapas1!$B$14/1000,1)</f>
        <v>166.6</v>
      </c>
      <c r="N229" s="95">
        <f>ROUND([4]Lapas1!$C$14/1000,1)</f>
        <v>123.1</v>
      </c>
      <c r="O229" s="95"/>
      <c r="P229" s="95">
        <f>BIP!G21</f>
        <v>0.2</v>
      </c>
      <c r="Q229" s="95"/>
      <c r="R229" s="95"/>
      <c r="S229" s="95">
        <f>ROUND('[7]Kuciunu mokykla'!$R$9/1000,1)</f>
        <v>75.099999999999994</v>
      </c>
      <c r="T229" s="95">
        <f>ROUND('[7]Kuciunu mokykla'!$R$11/1000,1)</f>
        <v>36.4</v>
      </c>
      <c r="U229" s="95">
        <f>ROUND('[7]Kuciunu mokykla'!$R$53/1000,1)</f>
        <v>0</v>
      </c>
    </row>
    <row r="230" spans="1:21" s="42" customFormat="1" ht="24.95" customHeight="1" outlineLevel="1" x14ac:dyDescent="0.2">
      <c r="A230" s="104" t="s">
        <v>412</v>
      </c>
      <c r="B230" s="43" t="s">
        <v>276</v>
      </c>
      <c r="C230" s="92">
        <f t="shared" ref="C230:U230" si="144">SUM(C231)</f>
        <v>11</v>
      </c>
      <c r="D230" s="92">
        <f t="shared" si="144"/>
        <v>11</v>
      </c>
      <c r="E230" s="92">
        <f t="shared" si="144"/>
        <v>0</v>
      </c>
      <c r="F230" s="92">
        <f t="shared" si="144"/>
        <v>0</v>
      </c>
      <c r="G230" s="92">
        <f t="shared" si="144"/>
        <v>11</v>
      </c>
      <c r="H230" s="92">
        <f t="shared" si="144"/>
        <v>0</v>
      </c>
      <c r="I230" s="92">
        <f t="shared" si="144"/>
        <v>0</v>
      </c>
      <c r="J230" s="92">
        <f t="shared" si="144"/>
        <v>0</v>
      </c>
      <c r="K230" s="92">
        <f t="shared" si="144"/>
        <v>0</v>
      </c>
      <c r="L230" s="92">
        <f t="shared" si="144"/>
        <v>0</v>
      </c>
      <c r="M230" s="92">
        <f t="shared" si="144"/>
        <v>0</v>
      </c>
      <c r="N230" s="92">
        <f t="shared" si="144"/>
        <v>0</v>
      </c>
      <c r="O230" s="92">
        <f t="shared" si="144"/>
        <v>0</v>
      </c>
      <c r="P230" s="92">
        <f t="shared" si="144"/>
        <v>0</v>
      </c>
      <c r="Q230" s="92">
        <f t="shared" si="144"/>
        <v>0</v>
      </c>
      <c r="R230" s="92">
        <f t="shared" si="144"/>
        <v>0</v>
      </c>
      <c r="S230" s="92">
        <f t="shared" si="144"/>
        <v>0</v>
      </c>
      <c r="T230" s="92">
        <f t="shared" si="144"/>
        <v>0</v>
      </c>
      <c r="U230" s="92">
        <f t="shared" si="144"/>
        <v>0</v>
      </c>
    </row>
    <row r="231" spans="1:21" ht="25.5" outlineLevel="2" x14ac:dyDescent="0.2">
      <c r="A231" s="108" t="s">
        <v>413</v>
      </c>
      <c r="B231" s="51" t="s">
        <v>383</v>
      </c>
      <c r="C231" s="93">
        <f>D231+F231</f>
        <v>11</v>
      </c>
      <c r="D231" s="94">
        <f>G231+J231+M231+P231+S231</f>
        <v>11</v>
      </c>
      <c r="E231" s="94">
        <f>H231+K231+N231+Q231+T231</f>
        <v>0</v>
      </c>
      <c r="F231" s="94">
        <f>I231+L231+O231+R231+U231</f>
        <v>0</v>
      </c>
      <c r="G231" s="95">
        <f>ROUND([8]Lapas1!$D$10/1000,1)</f>
        <v>11</v>
      </c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</row>
    <row r="232" spans="1:21" s="42" customFormat="1" x14ac:dyDescent="0.2">
      <c r="A232" s="107" t="s">
        <v>414</v>
      </c>
      <c r="B232" s="52" t="s">
        <v>415</v>
      </c>
      <c r="C232" s="92">
        <f t="shared" ref="C232:U232" si="145">C233+C235</f>
        <v>229.60000000000002</v>
      </c>
      <c r="D232" s="92">
        <f t="shared" si="145"/>
        <v>228.3</v>
      </c>
      <c r="E232" s="92">
        <f t="shared" si="145"/>
        <v>146.30000000000001</v>
      </c>
      <c r="F232" s="92">
        <f t="shared" si="145"/>
        <v>1.3</v>
      </c>
      <c r="G232" s="92">
        <f t="shared" si="145"/>
        <v>15.1</v>
      </c>
      <c r="H232" s="92">
        <f t="shared" si="145"/>
        <v>3.1</v>
      </c>
      <c r="I232" s="92">
        <f t="shared" si="145"/>
        <v>0</v>
      </c>
      <c r="J232" s="92">
        <f t="shared" si="145"/>
        <v>0</v>
      </c>
      <c r="K232" s="92">
        <f t="shared" si="145"/>
        <v>0</v>
      </c>
      <c r="L232" s="92">
        <f t="shared" si="145"/>
        <v>0</v>
      </c>
      <c r="M232" s="92">
        <f t="shared" si="145"/>
        <v>160.5</v>
      </c>
      <c r="N232" s="92">
        <f t="shared" si="145"/>
        <v>118.2</v>
      </c>
      <c r="O232" s="92">
        <f t="shared" si="145"/>
        <v>0</v>
      </c>
      <c r="P232" s="92">
        <f t="shared" si="145"/>
        <v>0</v>
      </c>
      <c r="Q232" s="92">
        <f t="shared" si="145"/>
        <v>0</v>
      </c>
      <c r="R232" s="92">
        <f t="shared" si="145"/>
        <v>0</v>
      </c>
      <c r="S232" s="92">
        <f t="shared" si="145"/>
        <v>52.7</v>
      </c>
      <c r="T232" s="92">
        <f t="shared" si="145"/>
        <v>25</v>
      </c>
      <c r="U232" s="92">
        <f t="shared" si="145"/>
        <v>1.3</v>
      </c>
    </row>
    <row r="233" spans="1:21" s="42" customFormat="1" outlineLevel="1" x14ac:dyDescent="0.2">
      <c r="A233" s="104" t="s">
        <v>416</v>
      </c>
      <c r="B233" s="43" t="s">
        <v>262</v>
      </c>
      <c r="C233" s="92">
        <f t="shared" ref="C233:U233" si="146">SUM(C234)</f>
        <v>218.60000000000002</v>
      </c>
      <c r="D233" s="92">
        <f t="shared" si="146"/>
        <v>217.3</v>
      </c>
      <c r="E233" s="92">
        <f t="shared" si="146"/>
        <v>146.30000000000001</v>
      </c>
      <c r="F233" s="92">
        <f t="shared" si="146"/>
        <v>1.3</v>
      </c>
      <c r="G233" s="92">
        <f t="shared" si="146"/>
        <v>4.0999999999999996</v>
      </c>
      <c r="H233" s="92">
        <f t="shared" si="146"/>
        <v>3.1</v>
      </c>
      <c r="I233" s="92">
        <f t="shared" si="146"/>
        <v>0</v>
      </c>
      <c r="J233" s="92">
        <f t="shared" si="146"/>
        <v>0</v>
      </c>
      <c r="K233" s="92">
        <f t="shared" si="146"/>
        <v>0</v>
      </c>
      <c r="L233" s="92">
        <f t="shared" si="146"/>
        <v>0</v>
      </c>
      <c r="M233" s="92">
        <f t="shared" si="146"/>
        <v>160.5</v>
      </c>
      <c r="N233" s="92">
        <f t="shared" si="146"/>
        <v>118.2</v>
      </c>
      <c r="O233" s="92">
        <f t="shared" si="146"/>
        <v>0</v>
      </c>
      <c r="P233" s="92">
        <f t="shared" si="146"/>
        <v>0</v>
      </c>
      <c r="Q233" s="92">
        <f t="shared" si="146"/>
        <v>0</v>
      </c>
      <c r="R233" s="92">
        <f t="shared" si="146"/>
        <v>0</v>
      </c>
      <c r="S233" s="92">
        <f t="shared" si="146"/>
        <v>52.7</v>
      </c>
      <c r="T233" s="92">
        <f t="shared" si="146"/>
        <v>25</v>
      </c>
      <c r="U233" s="92">
        <f t="shared" si="146"/>
        <v>1.3</v>
      </c>
    </row>
    <row r="234" spans="1:21" ht="25.5" outlineLevel="2" x14ac:dyDescent="0.2">
      <c r="A234" s="108" t="s">
        <v>417</v>
      </c>
      <c r="B234" s="51" t="s">
        <v>380</v>
      </c>
      <c r="C234" s="93">
        <f>D234+F234</f>
        <v>218.60000000000002</v>
      </c>
      <c r="D234" s="94">
        <f>G234+J234+M234+P234+S234</f>
        <v>217.3</v>
      </c>
      <c r="E234" s="94">
        <f>H234+K234+N234+Q234+T234</f>
        <v>146.30000000000001</v>
      </c>
      <c r="F234" s="94">
        <f>I234+L234+O234+R234+U234</f>
        <v>1.3</v>
      </c>
      <c r="G234" s="95">
        <f>ROUND('[4]Pedagog DU didinimas'!$C$15/1000,1)</f>
        <v>4.0999999999999996</v>
      </c>
      <c r="H234" s="95">
        <f>ROUND('[4]Pedagog DU didinimas'!$D$15/1000,1)</f>
        <v>3.1</v>
      </c>
      <c r="I234" s="95"/>
      <c r="J234" s="95"/>
      <c r="K234" s="95"/>
      <c r="L234" s="95"/>
      <c r="M234" s="95">
        <f>ROUND([4]Lapas1!$B$16/1000,1)</f>
        <v>160.5</v>
      </c>
      <c r="N234" s="95">
        <f>ROUND([4]Lapas1!$C$16/1000,1)</f>
        <v>118.2</v>
      </c>
      <c r="O234" s="95"/>
      <c r="P234" s="95"/>
      <c r="Q234" s="95"/>
      <c r="R234" s="95"/>
      <c r="S234" s="95">
        <f>ROUND('[7]Stebuliu mokykla'!$R$9/1000,1)</f>
        <v>52.7</v>
      </c>
      <c r="T234" s="95">
        <f>ROUND('[7]Stebuliu mokykla'!$R$11/1000,1)</f>
        <v>25</v>
      </c>
      <c r="U234" s="95">
        <f>ROUND('[7]Stebuliu mokykla'!$R$61/1000,1)</f>
        <v>1.3</v>
      </c>
    </row>
    <row r="235" spans="1:21" s="42" customFormat="1" ht="24.95" customHeight="1" outlineLevel="1" x14ac:dyDescent="0.2">
      <c r="A235" s="104" t="s">
        <v>418</v>
      </c>
      <c r="B235" s="43" t="s">
        <v>276</v>
      </c>
      <c r="C235" s="92">
        <f t="shared" ref="C235:U235" si="147">SUM(C236)</f>
        <v>11</v>
      </c>
      <c r="D235" s="92">
        <f t="shared" si="147"/>
        <v>11</v>
      </c>
      <c r="E235" s="92">
        <f t="shared" si="147"/>
        <v>0</v>
      </c>
      <c r="F235" s="92">
        <f t="shared" si="147"/>
        <v>0</v>
      </c>
      <c r="G235" s="92">
        <f t="shared" si="147"/>
        <v>11</v>
      </c>
      <c r="H235" s="92">
        <f t="shared" si="147"/>
        <v>0</v>
      </c>
      <c r="I235" s="92">
        <f t="shared" si="147"/>
        <v>0</v>
      </c>
      <c r="J235" s="92">
        <f t="shared" si="147"/>
        <v>0</v>
      </c>
      <c r="K235" s="92">
        <f t="shared" si="147"/>
        <v>0</v>
      </c>
      <c r="L235" s="92">
        <f t="shared" si="147"/>
        <v>0</v>
      </c>
      <c r="M235" s="92">
        <f t="shared" si="147"/>
        <v>0</v>
      </c>
      <c r="N235" s="92">
        <f t="shared" si="147"/>
        <v>0</v>
      </c>
      <c r="O235" s="92">
        <f t="shared" si="147"/>
        <v>0</v>
      </c>
      <c r="P235" s="92">
        <f t="shared" si="147"/>
        <v>0</v>
      </c>
      <c r="Q235" s="92">
        <f t="shared" si="147"/>
        <v>0</v>
      </c>
      <c r="R235" s="92">
        <f t="shared" si="147"/>
        <v>0</v>
      </c>
      <c r="S235" s="92">
        <f t="shared" si="147"/>
        <v>0</v>
      </c>
      <c r="T235" s="92">
        <f t="shared" si="147"/>
        <v>0</v>
      </c>
      <c r="U235" s="92">
        <f t="shared" si="147"/>
        <v>0</v>
      </c>
    </row>
    <row r="236" spans="1:21" ht="25.5" outlineLevel="2" x14ac:dyDescent="0.2">
      <c r="A236" s="108" t="s">
        <v>419</v>
      </c>
      <c r="B236" s="51" t="s">
        <v>383</v>
      </c>
      <c r="C236" s="93">
        <f>D236+F236</f>
        <v>11</v>
      </c>
      <c r="D236" s="94">
        <f>G236+J236+M236+P236+S236</f>
        <v>11</v>
      </c>
      <c r="E236" s="94">
        <f>H236+K236+N236+Q236+T236</f>
        <v>0</v>
      </c>
      <c r="F236" s="94">
        <f>I236+L236+O236+R236+U236</f>
        <v>0</v>
      </c>
      <c r="G236" s="95">
        <f>ROUND([8]Lapas1!$D$15/1000,1)</f>
        <v>11</v>
      </c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</row>
    <row r="237" spans="1:21" s="42" customFormat="1" x14ac:dyDescent="0.2">
      <c r="A237" s="107" t="s">
        <v>420</v>
      </c>
      <c r="B237" s="52" t="s">
        <v>421</v>
      </c>
      <c r="C237" s="92">
        <f t="shared" ref="C237:U237" si="148">C238+C241</f>
        <v>380.5</v>
      </c>
      <c r="D237" s="92">
        <f t="shared" si="148"/>
        <v>378.6</v>
      </c>
      <c r="E237" s="92">
        <f t="shared" si="148"/>
        <v>253</v>
      </c>
      <c r="F237" s="92">
        <f t="shared" si="148"/>
        <v>1.9</v>
      </c>
      <c r="G237" s="92">
        <f t="shared" si="148"/>
        <v>20.6</v>
      </c>
      <c r="H237" s="92">
        <f t="shared" si="148"/>
        <v>7.3999999999999995</v>
      </c>
      <c r="I237" s="92">
        <f t="shared" si="148"/>
        <v>0</v>
      </c>
      <c r="J237" s="92">
        <f t="shared" si="148"/>
        <v>0</v>
      </c>
      <c r="K237" s="92">
        <f t="shared" si="148"/>
        <v>0</v>
      </c>
      <c r="L237" s="92">
        <f t="shared" si="148"/>
        <v>0</v>
      </c>
      <c r="M237" s="92">
        <f t="shared" si="148"/>
        <v>241</v>
      </c>
      <c r="N237" s="92">
        <f t="shared" si="148"/>
        <v>179.8</v>
      </c>
      <c r="O237" s="92">
        <f t="shared" si="148"/>
        <v>0.4</v>
      </c>
      <c r="P237" s="92">
        <f t="shared" si="148"/>
        <v>0.4</v>
      </c>
      <c r="Q237" s="92">
        <f t="shared" si="148"/>
        <v>0</v>
      </c>
      <c r="R237" s="92">
        <f t="shared" si="148"/>
        <v>0</v>
      </c>
      <c r="S237" s="92">
        <f t="shared" si="148"/>
        <v>116.6</v>
      </c>
      <c r="T237" s="92">
        <f t="shared" si="148"/>
        <v>65.8</v>
      </c>
      <c r="U237" s="92">
        <f t="shared" si="148"/>
        <v>1.5</v>
      </c>
    </row>
    <row r="238" spans="1:21" s="42" customFormat="1" outlineLevel="1" x14ac:dyDescent="0.2">
      <c r="A238" s="104" t="s">
        <v>422</v>
      </c>
      <c r="B238" s="43" t="s">
        <v>262</v>
      </c>
      <c r="C238" s="92">
        <f>SUM(C239:C240)</f>
        <v>369.5</v>
      </c>
      <c r="D238" s="92">
        <f t="shared" ref="D238:U238" si="149">SUM(D239:D240)</f>
        <v>367.6</v>
      </c>
      <c r="E238" s="92">
        <f t="shared" si="149"/>
        <v>253</v>
      </c>
      <c r="F238" s="92">
        <f t="shared" si="149"/>
        <v>1.9</v>
      </c>
      <c r="G238" s="92">
        <f t="shared" si="149"/>
        <v>9.6</v>
      </c>
      <c r="H238" s="92">
        <f t="shared" si="149"/>
        <v>7.3999999999999995</v>
      </c>
      <c r="I238" s="92">
        <f t="shared" si="149"/>
        <v>0</v>
      </c>
      <c r="J238" s="92">
        <f t="shared" si="149"/>
        <v>0</v>
      </c>
      <c r="K238" s="92">
        <f t="shared" si="149"/>
        <v>0</v>
      </c>
      <c r="L238" s="92">
        <f t="shared" si="149"/>
        <v>0</v>
      </c>
      <c r="M238" s="92">
        <f t="shared" si="149"/>
        <v>241</v>
      </c>
      <c r="N238" s="92">
        <f t="shared" si="149"/>
        <v>179.8</v>
      </c>
      <c r="O238" s="92">
        <f t="shared" si="149"/>
        <v>0.4</v>
      </c>
      <c r="P238" s="92">
        <f t="shared" si="149"/>
        <v>0.4</v>
      </c>
      <c r="Q238" s="92">
        <f t="shared" si="149"/>
        <v>0</v>
      </c>
      <c r="R238" s="92">
        <f t="shared" si="149"/>
        <v>0</v>
      </c>
      <c r="S238" s="92">
        <f t="shared" si="149"/>
        <v>116.6</v>
      </c>
      <c r="T238" s="92">
        <f t="shared" si="149"/>
        <v>65.8</v>
      </c>
      <c r="U238" s="92">
        <f t="shared" si="149"/>
        <v>1.5</v>
      </c>
    </row>
    <row r="239" spans="1:21" ht="25.5" outlineLevel="2" x14ac:dyDescent="0.2">
      <c r="A239" s="108" t="s">
        <v>423</v>
      </c>
      <c r="B239" s="51" t="s">
        <v>380</v>
      </c>
      <c r="C239" s="93">
        <f>D239+F239</f>
        <v>366.5</v>
      </c>
      <c r="D239" s="94">
        <f t="shared" ref="D239:F240" si="150">G239+J239+M239+P239+S239</f>
        <v>364.6</v>
      </c>
      <c r="E239" s="94">
        <f t="shared" si="150"/>
        <v>250.7</v>
      </c>
      <c r="F239" s="94">
        <f t="shared" si="150"/>
        <v>1.9</v>
      </c>
      <c r="G239" s="95">
        <f>ROUND('[4]Pedagog DU didinimas'!$C$16/1000,1)</f>
        <v>6.6</v>
      </c>
      <c r="H239" s="95">
        <f>ROUND('[4]Pedagog DU didinimas'!$D$16/1000,1)</f>
        <v>5.0999999999999996</v>
      </c>
      <c r="I239" s="95"/>
      <c r="J239" s="95"/>
      <c r="K239" s="95"/>
      <c r="L239" s="95"/>
      <c r="M239" s="95">
        <f>ROUND([4]Lapas1!$B$17/1000-[4]Lapas1!$J$17/1000,1)</f>
        <v>241</v>
      </c>
      <c r="N239" s="95">
        <f>ROUND([4]Lapas1!$C$17/1000,1)</f>
        <v>179.8</v>
      </c>
      <c r="O239" s="95">
        <f>ROUND([4]Lapas1!$J$17/1000,1)</f>
        <v>0.4</v>
      </c>
      <c r="P239" s="95">
        <f>BIP!G23</f>
        <v>0.4</v>
      </c>
      <c r="Q239" s="95"/>
      <c r="R239" s="95"/>
      <c r="S239" s="95">
        <f>ROUND('[7]Sestoku mokykla'!$R$9/1000,1)</f>
        <v>116.6</v>
      </c>
      <c r="T239" s="95">
        <f>ROUND('[7]Sestoku mokykla'!$R$11/1000,1)</f>
        <v>65.8</v>
      </c>
      <c r="U239" s="95">
        <f>ROUND('[7]Sestoku mokykla'!$R$60/1000,1)</f>
        <v>1.5</v>
      </c>
    </row>
    <row r="240" spans="1:21" outlineLevel="2" x14ac:dyDescent="0.2">
      <c r="A240" s="108" t="s">
        <v>617</v>
      </c>
      <c r="B240" s="51" t="s">
        <v>614</v>
      </c>
      <c r="C240" s="93">
        <f>D240+F240</f>
        <v>3</v>
      </c>
      <c r="D240" s="94">
        <f t="shared" si="150"/>
        <v>3</v>
      </c>
      <c r="E240" s="94">
        <f t="shared" si="150"/>
        <v>2.2999999999999998</v>
      </c>
      <c r="F240" s="94">
        <f t="shared" si="150"/>
        <v>0</v>
      </c>
      <c r="G240" s="95">
        <f>ROUND('[3]2017-06-28'!$G$232/1000,1)</f>
        <v>3</v>
      </c>
      <c r="H240" s="95">
        <f>ROUND('[3]2017-06-28'!$H$232/1000,1)</f>
        <v>2.2999999999999998</v>
      </c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</row>
    <row r="241" spans="1:21" s="42" customFormat="1" ht="24.95" customHeight="1" outlineLevel="1" x14ac:dyDescent="0.2">
      <c r="A241" s="104" t="s">
        <v>424</v>
      </c>
      <c r="B241" s="43" t="s">
        <v>276</v>
      </c>
      <c r="C241" s="92">
        <f t="shared" ref="C241:U241" si="151">SUM(C242)</f>
        <v>11</v>
      </c>
      <c r="D241" s="92">
        <f t="shared" si="151"/>
        <v>11</v>
      </c>
      <c r="E241" s="92">
        <f t="shared" si="151"/>
        <v>0</v>
      </c>
      <c r="F241" s="92">
        <f t="shared" si="151"/>
        <v>0</v>
      </c>
      <c r="G241" s="92">
        <f t="shared" si="151"/>
        <v>11</v>
      </c>
      <c r="H241" s="92">
        <f t="shared" si="151"/>
        <v>0</v>
      </c>
      <c r="I241" s="92">
        <f t="shared" si="151"/>
        <v>0</v>
      </c>
      <c r="J241" s="92">
        <f t="shared" si="151"/>
        <v>0</v>
      </c>
      <c r="K241" s="92">
        <f t="shared" si="151"/>
        <v>0</v>
      </c>
      <c r="L241" s="92">
        <f t="shared" si="151"/>
        <v>0</v>
      </c>
      <c r="M241" s="92">
        <f t="shared" si="151"/>
        <v>0</v>
      </c>
      <c r="N241" s="92">
        <f t="shared" si="151"/>
        <v>0</v>
      </c>
      <c r="O241" s="92">
        <f t="shared" si="151"/>
        <v>0</v>
      </c>
      <c r="P241" s="92">
        <f t="shared" si="151"/>
        <v>0</v>
      </c>
      <c r="Q241" s="92">
        <f t="shared" si="151"/>
        <v>0</v>
      </c>
      <c r="R241" s="92">
        <f t="shared" si="151"/>
        <v>0</v>
      </c>
      <c r="S241" s="92">
        <f t="shared" si="151"/>
        <v>0</v>
      </c>
      <c r="T241" s="92">
        <f t="shared" si="151"/>
        <v>0</v>
      </c>
      <c r="U241" s="92">
        <f t="shared" si="151"/>
        <v>0</v>
      </c>
    </row>
    <row r="242" spans="1:21" ht="25.5" outlineLevel="2" x14ac:dyDescent="0.2">
      <c r="A242" s="108" t="s">
        <v>425</v>
      </c>
      <c r="B242" s="51" t="s">
        <v>383</v>
      </c>
      <c r="C242" s="93">
        <f>D242+F242</f>
        <v>11</v>
      </c>
      <c r="D242" s="94">
        <f>G242+J242+M242+P242+S242</f>
        <v>11</v>
      </c>
      <c r="E242" s="94">
        <f>H242+K242+N242+Q242+T242</f>
        <v>0</v>
      </c>
      <c r="F242" s="94">
        <f>I242+L242+O242+R242+U242</f>
        <v>0</v>
      </c>
      <c r="G242" s="95">
        <f>ROUND([8]Lapas1!$D$16/1000,1)</f>
        <v>11</v>
      </c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</row>
    <row r="243" spans="1:21" s="42" customFormat="1" x14ac:dyDescent="0.2">
      <c r="A243" s="107" t="s">
        <v>426</v>
      </c>
      <c r="B243" s="52" t="s">
        <v>427</v>
      </c>
      <c r="C243" s="92">
        <f t="shared" ref="C243:U243" si="152">C244+C246</f>
        <v>387.7</v>
      </c>
      <c r="D243" s="92">
        <f t="shared" si="152"/>
        <v>387.7</v>
      </c>
      <c r="E243" s="92">
        <f t="shared" si="152"/>
        <v>245.10000000000002</v>
      </c>
      <c r="F243" s="92">
        <f t="shared" si="152"/>
        <v>0</v>
      </c>
      <c r="G243" s="92">
        <f t="shared" si="152"/>
        <v>15.7</v>
      </c>
      <c r="H243" s="92">
        <f t="shared" si="152"/>
        <v>4.4000000000000004</v>
      </c>
      <c r="I243" s="92">
        <f t="shared" si="152"/>
        <v>0</v>
      </c>
      <c r="J243" s="92">
        <f t="shared" si="152"/>
        <v>0</v>
      </c>
      <c r="K243" s="92">
        <f t="shared" si="152"/>
        <v>0</v>
      </c>
      <c r="L243" s="92">
        <f t="shared" si="152"/>
        <v>0</v>
      </c>
      <c r="M243" s="92">
        <f t="shared" si="152"/>
        <v>215</v>
      </c>
      <c r="N243" s="92">
        <f t="shared" si="152"/>
        <v>160.30000000000001</v>
      </c>
      <c r="O243" s="92">
        <f t="shared" si="152"/>
        <v>0</v>
      </c>
      <c r="P243" s="92">
        <f t="shared" si="152"/>
        <v>0.5</v>
      </c>
      <c r="Q243" s="92">
        <f t="shared" si="152"/>
        <v>0</v>
      </c>
      <c r="R243" s="92">
        <f t="shared" si="152"/>
        <v>0</v>
      </c>
      <c r="S243" s="92">
        <f t="shared" si="152"/>
        <v>156.5</v>
      </c>
      <c r="T243" s="92">
        <f t="shared" si="152"/>
        <v>80.400000000000006</v>
      </c>
      <c r="U243" s="92">
        <f t="shared" si="152"/>
        <v>0</v>
      </c>
    </row>
    <row r="244" spans="1:21" s="42" customFormat="1" outlineLevel="1" x14ac:dyDescent="0.2">
      <c r="A244" s="104" t="s">
        <v>428</v>
      </c>
      <c r="B244" s="43" t="s">
        <v>262</v>
      </c>
      <c r="C244" s="92">
        <f t="shared" ref="C244:U244" si="153">SUM(C245)</f>
        <v>377.7</v>
      </c>
      <c r="D244" s="92">
        <f t="shared" si="153"/>
        <v>377.7</v>
      </c>
      <c r="E244" s="92">
        <f t="shared" si="153"/>
        <v>245.10000000000002</v>
      </c>
      <c r="F244" s="92">
        <f t="shared" si="153"/>
        <v>0</v>
      </c>
      <c r="G244" s="92">
        <f t="shared" si="153"/>
        <v>5.7</v>
      </c>
      <c r="H244" s="92">
        <f t="shared" si="153"/>
        <v>4.4000000000000004</v>
      </c>
      <c r="I244" s="92">
        <f t="shared" si="153"/>
        <v>0</v>
      </c>
      <c r="J244" s="92">
        <f t="shared" si="153"/>
        <v>0</v>
      </c>
      <c r="K244" s="92">
        <f t="shared" si="153"/>
        <v>0</v>
      </c>
      <c r="L244" s="92">
        <f t="shared" si="153"/>
        <v>0</v>
      </c>
      <c r="M244" s="92">
        <f t="shared" si="153"/>
        <v>215</v>
      </c>
      <c r="N244" s="92">
        <f t="shared" si="153"/>
        <v>160.30000000000001</v>
      </c>
      <c r="O244" s="92">
        <f t="shared" si="153"/>
        <v>0</v>
      </c>
      <c r="P244" s="92">
        <f t="shared" si="153"/>
        <v>0.5</v>
      </c>
      <c r="Q244" s="92">
        <f t="shared" si="153"/>
        <v>0</v>
      </c>
      <c r="R244" s="92">
        <f t="shared" si="153"/>
        <v>0</v>
      </c>
      <c r="S244" s="92">
        <f t="shared" si="153"/>
        <v>156.5</v>
      </c>
      <c r="T244" s="92">
        <f t="shared" si="153"/>
        <v>80.400000000000006</v>
      </c>
      <c r="U244" s="92">
        <f t="shared" si="153"/>
        <v>0</v>
      </c>
    </row>
    <row r="245" spans="1:21" ht="25.5" outlineLevel="2" x14ac:dyDescent="0.2">
      <c r="A245" s="108" t="s">
        <v>429</v>
      </c>
      <c r="B245" s="51" t="s">
        <v>380</v>
      </c>
      <c r="C245" s="93">
        <f>D245+F245</f>
        <v>377.7</v>
      </c>
      <c r="D245" s="94">
        <f>G245+J245+M245+P245+S245</f>
        <v>377.7</v>
      </c>
      <c r="E245" s="94">
        <f>H245+K245+N245+Q245+T245</f>
        <v>245.10000000000002</v>
      </c>
      <c r="F245" s="94">
        <f>I245+L245+O245+R245+U245</f>
        <v>0</v>
      </c>
      <c r="G245" s="95">
        <f>ROUND('[4]Pedagog DU didinimas'!$C$17/1000,1)</f>
        <v>5.7</v>
      </c>
      <c r="H245" s="95">
        <f>ROUND('[4]Pedagog DU didinimas'!$D$17/1000,1)</f>
        <v>4.4000000000000004</v>
      </c>
      <c r="I245" s="95"/>
      <c r="J245" s="95"/>
      <c r="K245" s="95"/>
      <c r="L245" s="95"/>
      <c r="M245" s="95">
        <f>ROUND([4]Lapas1!$B$18/1000,1)</f>
        <v>215</v>
      </c>
      <c r="N245" s="95">
        <f>ROUND([4]Lapas1!$C$18/1000,1)</f>
        <v>160.30000000000001</v>
      </c>
      <c r="O245" s="95"/>
      <c r="P245" s="95">
        <f>BIP!G24</f>
        <v>0.5</v>
      </c>
      <c r="Q245" s="95"/>
      <c r="R245" s="95"/>
      <c r="S245" s="95">
        <f>ROUND('[7]Sventezerio mokykla'!$R$9/1000,1)</f>
        <v>156.5</v>
      </c>
      <c r="T245" s="95">
        <f>ROUND('[7]Sventezerio mokykla'!$R$11/1000,1)</f>
        <v>80.400000000000006</v>
      </c>
      <c r="U245" s="95">
        <f>ROUND('[7]Sventezerio mokykla'!$R$63/1000,1)</f>
        <v>0</v>
      </c>
    </row>
    <row r="246" spans="1:21" s="42" customFormat="1" ht="24.95" customHeight="1" outlineLevel="1" x14ac:dyDescent="0.2">
      <c r="A246" s="104" t="s">
        <v>430</v>
      </c>
      <c r="B246" s="43" t="s">
        <v>276</v>
      </c>
      <c r="C246" s="92">
        <f t="shared" ref="C246:U246" si="154">SUM(C247)</f>
        <v>10</v>
      </c>
      <c r="D246" s="92">
        <f t="shared" si="154"/>
        <v>10</v>
      </c>
      <c r="E246" s="92">
        <f t="shared" si="154"/>
        <v>0</v>
      </c>
      <c r="F246" s="92">
        <f t="shared" si="154"/>
        <v>0</v>
      </c>
      <c r="G246" s="92">
        <f t="shared" si="154"/>
        <v>10</v>
      </c>
      <c r="H246" s="92">
        <f t="shared" si="154"/>
        <v>0</v>
      </c>
      <c r="I246" s="92">
        <f t="shared" si="154"/>
        <v>0</v>
      </c>
      <c r="J246" s="92">
        <f t="shared" si="154"/>
        <v>0</v>
      </c>
      <c r="K246" s="92">
        <f t="shared" si="154"/>
        <v>0</v>
      </c>
      <c r="L246" s="92">
        <f t="shared" si="154"/>
        <v>0</v>
      </c>
      <c r="M246" s="92">
        <f t="shared" si="154"/>
        <v>0</v>
      </c>
      <c r="N246" s="92">
        <f t="shared" si="154"/>
        <v>0</v>
      </c>
      <c r="O246" s="92">
        <f t="shared" si="154"/>
        <v>0</v>
      </c>
      <c r="P246" s="92">
        <f t="shared" si="154"/>
        <v>0</v>
      </c>
      <c r="Q246" s="92">
        <f t="shared" si="154"/>
        <v>0</v>
      </c>
      <c r="R246" s="92">
        <f t="shared" si="154"/>
        <v>0</v>
      </c>
      <c r="S246" s="92">
        <f t="shared" si="154"/>
        <v>0</v>
      </c>
      <c r="T246" s="92">
        <f t="shared" si="154"/>
        <v>0</v>
      </c>
      <c r="U246" s="92">
        <f t="shared" si="154"/>
        <v>0</v>
      </c>
    </row>
    <row r="247" spans="1:21" ht="25.5" outlineLevel="2" x14ac:dyDescent="0.2">
      <c r="A247" s="108" t="s">
        <v>431</v>
      </c>
      <c r="B247" s="51" t="s">
        <v>383</v>
      </c>
      <c r="C247" s="93">
        <f>D247+F247</f>
        <v>10</v>
      </c>
      <c r="D247" s="94">
        <f>G247+J247+M247+P247+S247</f>
        <v>10</v>
      </c>
      <c r="E247" s="94">
        <f>H247+K247+N247+Q247+T247</f>
        <v>0</v>
      </c>
      <c r="F247" s="94">
        <f>I247+L247+O247+R247+U247</f>
        <v>0</v>
      </c>
      <c r="G247" s="95">
        <f>ROUND([8]Lapas1!$D$17/1000,1)</f>
        <v>10</v>
      </c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</row>
    <row r="248" spans="1:21" s="42" customFormat="1" x14ac:dyDescent="0.2">
      <c r="A248" s="107" t="s">
        <v>432</v>
      </c>
      <c r="B248" s="52" t="s">
        <v>445</v>
      </c>
      <c r="C248" s="92">
        <f t="shared" ref="C248:U248" si="155">C249+C252</f>
        <v>1401.8</v>
      </c>
      <c r="D248" s="92">
        <f t="shared" si="155"/>
        <v>1401.8</v>
      </c>
      <c r="E248" s="92">
        <f t="shared" si="155"/>
        <v>934.90000000000009</v>
      </c>
      <c r="F248" s="92">
        <f t="shared" si="155"/>
        <v>0</v>
      </c>
      <c r="G248" s="92">
        <f t="shared" si="155"/>
        <v>95.5</v>
      </c>
      <c r="H248" s="92">
        <f t="shared" si="155"/>
        <v>39.1</v>
      </c>
      <c r="I248" s="92">
        <f t="shared" si="155"/>
        <v>0</v>
      </c>
      <c r="J248" s="92">
        <f t="shared" si="155"/>
        <v>0</v>
      </c>
      <c r="K248" s="92">
        <f t="shared" si="155"/>
        <v>0</v>
      </c>
      <c r="L248" s="92">
        <f t="shared" si="155"/>
        <v>0</v>
      </c>
      <c r="M248" s="92">
        <f t="shared" si="155"/>
        <v>1025</v>
      </c>
      <c r="N248" s="92">
        <f t="shared" si="155"/>
        <v>768.2</v>
      </c>
      <c r="O248" s="92">
        <f t="shared" si="155"/>
        <v>0</v>
      </c>
      <c r="P248" s="92">
        <f t="shared" si="155"/>
        <v>9.8000000000000007</v>
      </c>
      <c r="Q248" s="92">
        <f t="shared" si="155"/>
        <v>0</v>
      </c>
      <c r="R248" s="92">
        <f t="shared" si="155"/>
        <v>0</v>
      </c>
      <c r="S248" s="92">
        <f t="shared" si="155"/>
        <v>271.5</v>
      </c>
      <c r="T248" s="92">
        <f t="shared" si="155"/>
        <v>127.6</v>
      </c>
      <c r="U248" s="92">
        <f t="shared" si="155"/>
        <v>0</v>
      </c>
    </row>
    <row r="249" spans="1:21" s="42" customFormat="1" outlineLevel="1" x14ac:dyDescent="0.2">
      <c r="A249" s="104" t="s">
        <v>434</v>
      </c>
      <c r="B249" s="43" t="s">
        <v>262</v>
      </c>
      <c r="C249" s="92">
        <f>SUM(C250:C251)</f>
        <v>1374.8</v>
      </c>
      <c r="D249" s="92">
        <f t="shared" ref="D249:U249" si="156">SUM(D250:D251)</f>
        <v>1374.8</v>
      </c>
      <c r="E249" s="92">
        <f t="shared" si="156"/>
        <v>934.90000000000009</v>
      </c>
      <c r="F249" s="92">
        <f t="shared" si="156"/>
        <v>0</v>
      </c>
      <c r="G249" s="92">
        <f t="shared" si="156"/>
        <v>68.5</v>
      </c>
      <c r="H249" s="92">
        <f t="shared" si="156"/>
        <v>39.1</v>
      </c>
      <c r="I249" s="92">
        <f t="shared" si="156"/>
        <v>0</v>
      </c>
      <c r="J249" s="92">
        <f t="shared" si="156"/>
        <v>0</v>
      </c>
      <c r="K249" s="92">
        <f t="shared" si="156"/>
        <v>0</v>
      </c>
      <c r="L249" s="92">
        <f t="shared" si="156"/>
        <v>0</v>
      </c>
      <c r="M249" s="92">
        <f t="shared" si="156"/>
        <v>1025</v>
      </c>
      <c r="N249" s="92">
        <f t="shared" si="156"/>
        <v>768.2</v>
      </c>
      <c r="O249" s="92">
        <f t="shared" si="156"/>
        <v>0</v>
      </c>
      <c r="P249" s="92">
        <f t="shared" si="156"/>
        <v>9.8000000000000007</v>
      </c>
      <c r="Q249" s="92">
        <f t="shared" si="156"/>
        <v>0</v>
      </c>
      <c r="R249" s="92">
        <f t="shared" si="156"/>
        <v>0</v>
      </c>
      <c r="S249" s="92">
        <f t="shared" si="156"/>
        <v>271.5</v>
      </c>
      <c r="T249" s="92">
        <f t="shared" si="156"/>
        <v>127.6</v>
      </c>
      <c r="U249" s="92">
        <f t="shared" si="156"/>
        <v>0</v>
      </c>
    </row>
    <row r="250" spans="1:21" ht="25.5" outlineLevel="2" x14ac:dyDescent="0.2">
      <c r="A250" s="108" t="s">
        <v>435</v>
      </c>
      <c r="B250" s="51" t="s">
        <v>380</v>
      </c>
      <c r="C250" s="93">
        <f>D250+F250</f>
        <v>1358.3</v>
      </c>
      <c r="D250" s="94">
        <f t="shared" ref="D250:F251" si="157">G250+J250+M250+P250+S250</f>
        <v>1358.3</v>
      </c>
      <c r="E250" s="94">
        <f t="shared" si="157"/>
        <v>922.30000000000007</v>
      </c>
      <c r="F250" s="94">
        <f t="shared" si="157"/>
        <v>0</v>
      </c>
      <c r="G250" s="95">
        <f>23.4+ROUND('[4]Pedagog DU didinimas'!$C$8/1000+'[3]2017-05-18'!$G$229/1000,1)</f>
        <v>52</v>
      </c>
      <c r="H250" s="95">
        <f>4.6+ROUND('[4]Pedagog DU didinimas'!$D$8/1000+'[3]2017-05-18'!$H$229/1000,1)</f>
        <v>26.5</v>
      </c>
      <c r="I250" s="95"/>
      <c r="J250" s="95"/>
      <c r="K250" s="95"/>
      <c r="L250" s="95"/>
      <c r="M250" s="95">
        <f>ROUND([4]Lapas1!$B$9/1000,1)</f>
        <v>1025</v>
      </c>
      <c r="N250" s="95">
        <f>ROUND([4]Lapas1!$C$9/1000,1)</f>
        <v>768.2</v>
      </c>
      <c r="O250" s="95"/>
      <c r="P250" s="95">
        <f>BIP!G17+' 2016 m. nepanaudotos pajamos'!G38</f>
        <v>9.8000000000000007</v>
      </c>
      <c r="Q250" s="95"/>
      <c r="R250" s="95"/>
      <c r="S250" s="95">
        <f>ROUND('[7]Lazdiju A. Gustaicio gimnazija'!$R$9/1000,1)+' 2016 m. nepanaudotos pajamos'!J38</f>
        <v>271.5</v>
      </c>
      <c r="T250" s="95">
        <f>ROUND('[7]Lazdiju A. Gustaicio gimnazija'!$R$11/1000,1)</f>
        <v>127.6</v>
      </c>
      <c r="U250" s="95">
        <f>ROUND('[7]Lazdiju A. Gustaicio gimnazija'!$R$61/1000,1)</f>
        <v>0</v>
      </c>
    </row>
    <row r="251" spans="1:21" outlineLevel="2" x14ac:dyDescent="0.2">
      <c r="A251" s="108" t="s">
        <v>618</v>
      </c>
      <c r="B251" s="51" t="s">
        <v>614</v>
      </c>
      <c r="C251" s="93">
        <f>D251+F251</f>
        <v>16.5</v>
      </c>
      <c r="D251" s="94">
        <f t="shared" si="157"/>
        <v>16.5</v>
      </c>
      <c r="E251" s="94">
        <f t="shared" si="157"/>
        <v>12.6</v>
      </c>
      <c r="F251" s="94">
        <f t="shared" si="157"/>
        <v>0</v>
      </c>
      <c r="G251" s="95">
        <f>ROUND('[3]2017-06-28'!$G$243/1000,1)</f>
        <v>16.5</v>
      </c>
      <c r="H251" s="95">
        <f>ROUND('[3]2017-06-28'!$H$243/1000,1)</f>
        <v>12.6</v>
      </c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</row>
    <row r="252" spans="1:21" s="42" customFormat="1" ht="24.95" customHeight="1" outlineLevel="1" x14ac:dyDescent="0.2">
      <c r="A252" s="104" t="s">
        <v>436</v>
      </c>
      <c r="B252" s="43" t="s">
        <v>276</v>
      </c>
      <c r="C252" s="92">
        <f t="shared" ref="C252:U252" si="158">SUM(C253)</f>
        <v>27</v>
      </c>
      <c r="D252" s="92">
        <f t="shared" si="158"/>
        <v>27</v>
      </c>
      <c r="E252" s="92">
        <f t="shared" si="158"/>
        <v>0</v>
      </c>
      <c r="F252" s="92">
        <f t="shared" si="158"/>
        <v>0</v>
      </c>
      <c r="G252" s="92">
        <f t="shared" si="158"/>
        <v>27</v>
      </c>
      <c r="H252" s="92">
        <f t="shared" si="158"/>
        <v>0</v>
      </c>
      <c r="I252" s="92">
        <f t="shared" si="158"/>
        <v>0</v>
      </c>
      <c r="J252" s="92">
        <f t="shared" si="158"/>
        <v>0</v>
      </c>
      <c r="K252" s="92">
        <f t="shared" si="158"/>
        <v>0</v>
      </c>
      <c r="L252" s="92">
        <f t="shared" si="158"/>
        <v>0</v>
      </c>
      <c r="M252" s="92">
        <f t="shared" si="158"/>
        <v>0</v>
      </c>
      <c r="N252" s="92">
        <f t="shared" si="158"/>
        <v>0</v>
      </c>
      <c r="O252" s="92">
        <f t="shared" si="158"/>
        <v>0</v>
      </c>
      <c r="P252" s="92">
        <f t="shared" si="158"/>
        <v>0</v>
      </c>
      <c r="Q252" s="92">
        <f t="shared" si="158"/>
        <v>0</v>
      </c>
      <c r="R252" s="92">
        <f t="shared" si="158"/>
        <v>0</v>
      </c>
      <c r="S252" s="92">
        <f t="shared" si="158"/>
        <v>0</v>
      </c>
      <c r="T252" s="92">
        <f t="shared" si="158"/>
        <v>0</v>
      </c>
      <c r="U252" s="92">
        <f t="shared" si="158"/>
        <v>0</v>
      </c>
    </row>
    <row r="253" spans="1:21" ht="25.5" outlineLevel="2" x14ac:dyDescent="0.2">
      <c r="A253" s="108" t="s">
        <v>437</v>
      </c>
      <c r="B253" s="51" t="s">
        <v>383</v>
      </c>
      <c r="C253" s="93">
        <f>D253+F253</f>
        <v>27</v>
      </c>
      <c r="D253" s="94">
        <f>G253+J253+M253+P253+S253</f>
        <v>27</v>
      </c>
      <c r="E253" s="94">
        <f>H253+K253+N253+Q253+T253</f>
        <v>0</v>
      </c>
      <c r="F253" s="94">
        <f>I253+L253+O253+R253+U253</f>
        <v>0</v>
      </c>
      <c r="G253" s="95">
        <f>ROUND([8]Lapas1!$D$13/1000,1)</f>
        <v>27</v>
      </c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</row>
    <row r="254" spans="1:21" s="42" customFormat="1" x14ac:dyDescent="0.2">
      <c r="A254" s="107" t="s">
        <v>438</v>
      </c>
      <c r="B254" s="52" t="s">
        <v>439</v>
      </c>
      <c r="C254" s="92">
        <f t="shared" ref="C254:U254" si="159">C255+C257</f>
        <v>719.40000000000009</v>
      </c>
      <c r="D254" s="92">
        <f t="shared" si="159"/>
        <v>716.40000000000009</v>
      </c>
      <c r="E254" s="92">
        <f t="shared" si="159"/>
        <v>467</v>
      </c>
      <c r="F254" s="92">
        <f t="shared" si="159"/>
        <v>3</v>
      </c>
      <c r="G254" s="92">
        <f t="shared" si="159"/>
        <v>31.8</v>
      </c>
      <c r="H254" s="92">
        <f t="shared" si="159"/>
        <v>9</v>
      </c>
      <c r="I254" s="92">
        <f t="shared" si="159"/>
        <v>0</v>
      </c>
      <c r="J254" s="92">
        <f t="shared" si="159"/>
        <v>0</v>
      </c>
      <c r="K254" s="92">
        <f t="shared" si="159"/>
        <v>0</v>
      </c>
      <c r="L254" s="92">
        <f t="shared" si="159"/>
        <v>0</v>
      </c>
      <c r="M254" s="92">
        <f t="shared" si="159"/>
        <v>432.3</v>
      </c>
      <c r="N254" s="92">
        <f t="shared" si="159"/>
        <v>324.10000000000002</v>
      </c>
      <c r="O254" s="92">
        <f t="shared" si="159"/>
        <v>0</v>
      </c>
      <c r="P254" s="92">
        <f t="shared" si="159"/>
        <v>6</v>
      </c>
      <c r="Q254" s="92">
        <f t="shared" si="159"/>
        <v>0</v>
      </c>
      <c r="R254" s="92">
        <f t="shared" si="159"/>
        <v>0</v>
      </c>
      <c r="S254" s="92">
        <f t="shared" si="159"/>
        <v>246.3</v>
      </c>
      <c r="T254" s="92">
        <f t="shared" si="159"/>
        <v>133.9</v>
      </c>
      <c r="U254" s="92">
        <f t="shared" si="159"/>
        <v>3</v>
      </c>
    </row>
    <row r="255" spans="1:21" s="42" customFormat="1" outlineLevel="1" x14ac:dyDescent="0.2">
      <c r="A255" s="104" t="s">
        <v>440</v>
      </c>
      <c r="B255" s="43" t="s">
        <v>262</v>
      </c>
      <c r="C255" s="92">
        <f t="shared" ref="C255:U255" si="160">SUM(C256)</f>
        <v>699.40000000000009</v>
      </c>
      <c r="D255" s="92">
        <f t="shared" si="160"/>
        <v>696.40000000000009</v>
      </c>
      <c r="E255" s="92">
        <f t="shared" si="160"/>
        <v>467</v>
      </c>
      <c r="F255" s="92">
        <f t="shared" si="160"/>
        <v>3</v>
      </c>
      <c r="G255" s="92">
        <f t="shared" si="160"/>
        <v>11.8</v>
      </c>
      <c r="H255" s="92">
        <f t="shared" si="160"/>
        <v>9</v>
      </c>
      <c r="I255" s="92">
        <f t="shared" si="160"/>
        <v>0</v>
      </c>
      <c r="J255" s="92">
        <f t="shared" si="160"/>
        <v>0</v>
      </c>
      <c r="K255" s="92">
        <f t="shared" si="160"/>
        <v>0</v>
      </c>
      <c r="L255" s="92">
        <f t="shared" si="160"/>
        <v>0</v>
      </c>
      <c r="M255" s="92">
        <f t="shared" si="160"/>
        <v>432.3</v>
      </c>
      <c r="N255" s="92">
        <f t="shared" si="160"/>
        <v>324.10000000000002</v>
      </c>
      <c r="O255" s="92">
        <f t="shared" si="160"/>
        <v>0</v>
      </c>
      <c r="P255" s="92">
        <f t="shared" si="160"/>
        <v>6</v>
      </c>
      <c r="Q255" s="92">
        <f t="shared" si="160"/>
        <v>0</v>
      </c>
      <c r="R255" s="92">
        <f t="shared" si="160"/>
        <v>0</v>
      </c>
      <c r="S255" s="92">
        <f t="shared" si="160"/>
        <v>246.3</v>
      </c>
      <c r="T255" s="92">
        <f t="shared" si="160"/>
        <v>133.9</v>
      </c>
      <c r="U255" s="92">
        <f t="shared" si="160"/>
        <v>3</v>
      </c>
    </row>
    <row r="256" spans="1:21" ht="25.5" outlineLevel="2" x14ac:dyDescent="0.2">
      <c r="A256" s="108" t="s">
        <v>441</v>
      </c>
      <c r="B256" s="51" t="s">
        <v>380</v>
      </c>
      <c r="C256" s="93">
        <f>D256+F256</f>
        <v>699.40000000000009</v>
      </c>
      <c r="D256" s="94">
        <f>G256+J256+M256+P256+S256</f>
        <v>696.40000000000009</v>
      </c>
      <c r="E256" s="94">
        <f>H256+K256+N256+Q256+T256</f>
        <v>467</v>
      </c>
      <c r="F256" s="94">
        <f>I256+L256+O256+R256+U256</f>
        <v>3</v>
      </c>
      <c r="G256" s="95">
        <f>ROUND('[4]Pedagog DU didinimas'!$C$14/1000,1)</f>
        <v>11.8</v>
      </c>
      <c r="H256" s="95">
        <f>ROUND('[4]Pedagog DU didinimas'!$D$14/1000,1)</f>
        <v>9</v>
      </c>
      <c r="I256" s="95"/>
      <c r="J256" s="95"/>
      <c r="K256" s="95"/>
      <c r="L256" s="95"/>
      <c r="M256" s="95">
        <f>ROUND([4]Lapas1!$B$15/1000,1)</f>
        <v>432.3</v>
      </c>
      <c r="N256" s="95">
        <f>ROUND([4]Lapas1!$C$15/1000,1)</f>
        <v>324.10000000000002</v>
      </c>
      <c r="O256" s="95"/>
      <c r="P256" s="95">
        <f>BIP!G22</f>
        <v>6</v>
      </c>
      <c r="Q256" s="95"/>
      <c r="R256" s="95"/>
      <c r="S256" s="95">
        <f>ROUND('[7]Seiriju A. Zmuidzinaviciaus '!$T$9/1000,1)</f>
        <v>246.3</v>
      </c>
      <c r="T256" s="95">
        <f>ROUND('[7]Seiriju A. Zmuidzinaviciaus '!$T$11/1000,1)</f>
        <v>133.9</v>
      </c>
      <c r="U256" s="95">
        <f>ROUND('[7]Seiriju A. Zmuidzinaviciaus '!$T$61/1000,1)</f>
        <v>3</v>
      </c>
    </row>
    <row r="257" spans="1:21" s="42" customFormat="1" ht="24.95" customHeight="1" outlineLevel="1" x14ac:dyDescent="0.2">
      <c r="A257" s="104" t="s">
        <v>442</v>
      </c>
      <c r="B257" s="43" t="s">
        <v>276</v>
      </c>
      <c r="C257" s="92">
        <f t="shared" ref="C257:U257" si="161">SUM(C258)</f>
        <v>20</v>
      </c>
      <c r="D257" s="92">
        <f t="shared" si="161"/>
        <v>20</v>
      </c>
      <c r="E257" s="92">
        <f t="shared" si="161"/>
        <v>0</v>
      </c>
      <c r="F257" s="92">
        <f t="shared" si="161"/>
        <v>0</v>
      </c>
      <c r="G257" s="92">
        <f t="shared" si="161"/>
        <v>20</v>
      </c>
      <c r="H257" s="92">
        <f t="shared" si="161"/>
        <v>0</v>
      </c>
      <c r="I257" s="92">
        <f t="shared" si="161"/>
        <v>0</v>
      </c>
      <c r="J257" s="92">
        <f t="shared" si="161"/>
        <v>0</v>
      </c>
      <c r="K257" s="92">
        <f t="shared" si="161"/>
        <v>0</v>
      </c>
      <c r="L257" s="92">
        <f t="shared" si="161"/>
        <v>0</v>
      </c>
      <c r="M257" s="92">
        <f t="shared" si="161"/>
        <v>0</v>
      </c>
      <c r="N257" s="92">
        <f t="shared" si="161"/>
        <v>0</v>
      </c>
      <c r="O257" s="92">
        <f t="shared" si="161"/>
        <v>0</v>
      </c>
      <c r="P257" s="92">
        <f t="shared" si="161"/>
        <v>0</v>
      </c>
      <c r="Q257" s="92">
        <f t="shared" si="161"/>
        <v>0</v>
      </c>
      <c r="R257" s="92">
        <f t="shared" si="161"/>
        <v>0</v>
      </c>
      <c r="S257" s="92">
        <f t="shared" si="161"/>
        <v>0</v>
      </c>
      <c r="T257" s="92">
        <f t="shared" si="161"/>
        <v>0</v>
      </c>
      <c r="U257" s="92">
        <f t="shared" si="161"/>
        <v>0</v>
      </c>
    </row>
    <row r="258" spans="1:21" ht="25.5" outlineLevel="2" x14ac:dyDescent="0.2">
      <c r="A258" s="108" t="s">
        <v>443</v>
      </c>
      <c r="B258" s="51" t="s">
        <v>383</v>
      </c>
      <c r="C258" s="93">
        <f>D258+F258</f>
        <v>20</v>
      </c>
      <c r="D258" s="94">
        <f>G258+J258+M258+P258+S258</f>
        <v>20</v>
      </c>
      <c r="E258" s="94">
        <f>H258+K258+N258+Q258+T258</f>
        <v>0</v>
      </c>
      <c r="F258" s="94">
        <f>I258+L258+O258+R258+U258</f>
        <v>0</v>
      </c>
      <c r="G258" s="95">
        <f>ROUND([8]Lapas1!$D$14/1000,1)</f>
        <v>20</v>
      </c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</row>
    <row r="259" spans="1:21" s="42" customFormat="1" x14ac:dyDescent="0.2">
      <c r="A259" s="107" t="s">
        <v>444</v>
      </c>
      <c r="B259" s="52" t="s">
        <v>494</v>
      </c>
      <c r="C259" s="92">
        <f t="shared" ref="C259:U259" si="162">C260+C262</f>
        <v>1016.4000000000001</v>
      </c>
      <c r="D259" s="92">
        <f t="shared" si="162"/>
        <v>892.40000000000009</v>
      </c>
      <c r="E259" s="92">
        <f t="shared" si="162"/>
        <v>579.4</v>
      </c>
      <c r="F259" s="92">
        <f t="shared" si="162"/>
        <v>124</v>
      </c>
      <c r="G259" s="92">
        <f t="shared" si="162"/>
        <v>30.7</v>
      </c>
      <c r="H259" s="92">
        <f t="shared" si="162"/>
        <v>10.5</v>
      </c>
      <c r="I259" s="92">
        <f t="shared" si="162"/>
        <v>80</v>
      </c>
      <c r="J259" s="92">
        <f t="shared" si="162"/>
        <v>0</v>
      </c>
      <c r="K259" s="92">
        <f t="shared" si="162"/>
        <v>0</v>
      </c>
      <c r="L259" s="92">
        <f t="shared" si="162"/>
        <v>0</v>
      </c>
      <c r="M259" s="92">
        <f t="shared" si="162"/>
        <v>520.1</v>
      </c>
      <c r="N259" s="92">
        <f t="shared" si="162"/>
        <v>385.9</v>
      </c>
      <c r="O259" s="92">
        <f t="shared" si="162"/>
        <v>0</v>
      </c>
      <c r="P259" s="92">
        <f t="shared" si="162"/>
        <v>11.799999999999999</v>
      </c>
      <c r="Q259" s="92">
        <f t="shared" si="162"/>
        <v>0</v>
      </c>
      <c r="R259" s="92">
        <f t="shared" si="162"/>
        <v>0</v>
      </c>
      <c r="S259" s="92">
        <f t="shared" si="162"/>
        <v>329.8</v>
      </c>
      <c r="T259" s="92">
        <f t="shared" si="162"/>
        <v>183</v>
      </c>
      <c r="U259" s="92">
        <f t="shared" si="162"/>
        <v>44</v>
      </c>
    </row>
    <row r="260" spans="1:21" s="42" customFormat="1" outlineLevel="1" x14ac:dyDescent="0.2">
      <c r="A260" s="104" t="s">
        <v>446</v>
      </c>
      <c r="B260" s="43" t="s">
        <v>262</v>
      </c>
      <c r="C260" s="92">
        <f t="shared" ref="C260:U260" si="163">SUM(C261)</f>
        <v>999.40000000000009</v>
      </c>
      <c r="D260" s="92">
        <f t="shared" si="163"/>
        <v>875.40000000000009</v>
      </c>
      <c r="E260" s="92">
        <f t="shared" si="163"/>
        <v>579.4</v>
      </c>
      <c r="F260" s="92">
        <f t="shared" si="163"/>
        <v>124</v>
      </c>
      <c r="G260" s="92">
        <f t="shared" si="163"/>
        <v>13.7</v>
      </c>
      <c r="H260" s="92">
        <f t="shared" si="163"/>
        <v>10.5</v>
      </c>
      <c r="I260" s="92">
        <f t="shared" si="163"/>
        <v>80</v>
      </c>
      <c r="J260" s="92">
        <f t="shared" si="163"/>
        <v>0</v>
      </c>
      <c r="K260" s="92">
        <f t="shared" si="163"/>
        <v>0</v>
      </c>
      <c r="L260" s="92">
        <f t="shared" si="163"/>
        <v>0</v>
      </c>
      <c r="M260" s="92">
        <f t="shared" si="163"/>
        <v>520.1</v>
      </c>
      <c r="N260" s="92">
        <f t="shared" si="163"/>
        <v>385.9</v>
      </c>
      <c r="O260" s="92">
        <f t="shared" si="163"/>
        <v>0</v>
      </c>
      <c r="P260" s="92">
        <f t="shared" si="163"/>
        <v>11.799999999999999</v>
      </c>
      <c r="Q260" s="92">
        <f t="shared" si="163"/>
        <v>0</v>
      </c>
      <c r="R260" s="92">
        <f t="shared" si="163"/>
        <v>0</v>
      </c>
      <c r="S260" s="92">
        <f t="shared" si="163"/>
        <v>329.8</v>
      </c>
      <c r="T260" s="92">
        <f t="shared" si="163"/>
        <v>183</v>
      </c>
      <c r="U260" s="92">
        <f t="shared" si="163"/>
        <v>44</v>
      </c>
    </row>
    <row r="261" spans="1:21" ht="25.5" outlineLevel="2" x14ac:dyDescent="0.2">
      <c r="A261" s="108" t="s">
        <v>447</v>
      </c>
      <c r="B261" s="51" t="s">
        <v>380</v>
      </c>
      <c r="C261" s="93">
        <f>D261+F261</f>
        <v>999.40000000000009</v>
      </c>
      <c r="D261" s="94">
        <f>G261+J261+M261+P261+S261</f>
        <v>875.40000000000009</v>
      </c>
      <c r="E261" s="94">
        <f>H261+K261+N261+Q261+T261</f>
        <v>579.4</v>
      </c>
      <c r="F261" s="94">
        <f>I261+L261+O261+R261+U261</f>
        <v>124</v>
      </c>
      <c r="G261" s="95">
        <f>ROUND('[4]Pedagog DU didinimas'!$C$18/1000,1)</f>
        <v>13.7</v>
      </c>
      <c r="H261" s="95">
        <f>ROUND('[4]Pedagog DU didinimas'!$D$18/1000,1)</f>
        <v>10.5</v>
      </c>
      <c r="I261" s="95">
        <f>ROUND('[3]2017-06-28'!$I$253/1000,1)</f>
        <v>80</v>
      </c>
      <c r="J261" s="95"/>
      <c r="K261" s="95"/>
      <c r="L261" s="95"/>
      <c r="M261" s="95">
        <f>ROUND([4]Lapas1!$B$19/1000,1)</f>
        <v>520.1</v>
      </c>
      <c r="N261" s="95">
        <f>ROUND([4]Lapas1!$C$19/1000,1)</f>
        <v>385.9</v>
      </c>
      <c r="O261" s="95"/>
      <c r="P261" s="95">
        <f>BIP!G25</f>
        <v>11.799999999999999</v>
      </c>
      <c r="Q261" s="95"/>
      <c r="R261" s="95"/>
      <c r="S261" s="95">
        <f>ROUND('[7]Veisieju S. Gedos gimnazija'!$R$9/1000,1)</f>
        <v>329.8</v>
      </c>
      <c r="T261" s="95">
        <f>ROUND('[7]Veisieju S. Gedos gimnazija'!$R$11/1000,1)</f>
        <v>183</v>
      </c>
      <c r="U261" s="95">
        <f>ROUND('[7]Veisieju S. Gedos gimnazija'!$R$60/1000,1)+' 2016 m. nepanaudotos pajamos'!L41</f>
        <v>44</v>
      </c>
    </row>
    <row r="262" spans="1:21" s="42" customFormat="1" ht="24.95" customHeight="1" outlineLevel="1" x14ac:dyDescent="0.2">
      <c r="A262" s="104" t="s">
        <v>448</v>
      </c>
      <c r="B262" s="43" t="s">
        <v>276</v>
      </c>
      <c r="C262" s="92">
        <f t="shared" ref="C262:U262" si="164">SUM(C263)</f>
        <v>17</v>
      </c>
      <c r="D262" s="92">
        <f t="shared" si="164"/>
        <v>17</v>
      </c>
      <c r="E262" s="92">
        <f t="shared" si="164"/>
        <v>0</v>
      </c>
      <c r="F262" s="92">
        <f t="shared" si="164"/>
        <v>0</v>
      </c>
      <c r="G262" s="92">
        <f t="shared" si="164"/>
        <v>17</v>
      </c>
      <c r="H262" s="92">
        <f t="shared" si="164"/>
        <v>0</v>
      </c>
      <c r="I262" s="92">
        <f t="shared" si="164"/>
        <v>0</v>
      </c>
      <c r="J262" s="92">
        <f t="shared" si="164"/>
        <v>0</v>
      </c>
      <c r="K262" s="92">
        <f t="shared" si="164"/>
        <v>0</v>
      </c>
      <c r="L262" s="92">
        <f t="shared" si="164"/>
        <v>0</v>
      </c>
      <c r="M262" s="92">
        <f t="shared" si="164"/>
        <v>0</v>
      </c>
      <c r="N262" s="92">
        <f t="shared" si="164"/>
        <v>0</v>
      </c>
      <c r="O262" s="92">
        <f t="shared" si="164"/>
        <v>0</v>
      </c>
      <c r="P262" s="92">
        <f t="shared" si="164"/>
        <v>0</v>
      </c>
      <c r="Q262" s="92">
        <f t="shared" si="164"/>
        <v>0</v>
      </c>
      <c r="R262" s="92">
        <f t="shared" si="164"/>
        <v>0</v>
      </c>
      <c r="S262" s="92">
        <f t="shared" si="164"/>
        <v>0</v>
      </c>
      <c r="T262" s="92">
        <f t="shared" si="164"/>
        <v>0</v>
      </c>
      <c r="U262" s="92">
        <f t="shared" si="164"/>
        <v>0</v>
      </c>
    </row>
    <row r="263" spans="1:21" s="42" customFormat="1" ht="25.5" outlineLevel="2" x14ac:dyDescent="0.2">
      <c r="A263" s="107" t="s">
        <v>449</v>
      </c>
      <c r="B263" s="51" t="s">
        <v>383</v>
      </c>
      <c r="C263" s="92">
        <f>D263+F263</f>
        <v>17</v>
      </c>
      <c r="D263" s="96">
        <f>G263+J263+M263+P263+S263</f>
        <v>17</v>
      </c>
      <c r="E263" s="96">
        <f>H263+K263+N263+Q263+T263</f>
        <v>0</v>
      </c>
      <c r="F263" s="96">
        <f>I263+L263+O263+R263+U263</f>
        <v>0</v>
      </c>
      <c r="G263" s="97">
        <f>ROUND([8]Lapas1!$D$18/1000,1)</f>
        <v>17</v>
      </c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</row>
    <row r="264" spans="1:21" s="42" customFormat="1" x14ac:dyDescent="0.2">
      <c r="A264" s="107" t="s">
        <v>450</v>
      </c>
      <c r="B264" s="52" t="s">
        <v>451</v>
      </c>
      <c r="C264" s="92">
        <f t="shared" ref="C264:U264" si="165">C265</f>
        <v>391.40000000000003</v>
      </c>
      <c r="D264" s="92">
        <f t="shared" si="165"/>
        <v>384.8</v>
      </c>
      <c r="E264" s="92">
        <f t="shared" si="165"/>
        <v>270.8</v>
      </c>
      <c r="F264" s="92">
        <f t="shared" si="165"/>
        <v>6.6</v>
      </c>
      <c r="G264" s="92">
        <f t="shared" si="165"/>
        <v>0</v>
      </c>
      <c r="H264" s="92">
        <f t="shared" si="165"/>
        <v>0</v>
      </c>
      <c r="I264" s="92">
        <f t="shared" si="165"/>
        <v>0</v>
      </c>
      <c r="J264" s="92">
        <f t="shared" si="165"/>
        <v>0</v>
      </c>
      <c r="K264" s="92">
        <f t="shared" si="165"/>
        <v>0</v>
      </c>
      <c r="L264" s="92">
        <f t="shared" si="165"/>
        <v>0</v>
      </c>
      <c r="M264" s="92">
        <f t="shared" si="165"/>
        <v>40.1</v>
      </c>
      <c r="N264" s="92">
        <f t="shared" si="165"/>
        <v>30.6</v>
      </c>
      <c r="O264" s="92">
        <f t="shared" si="165"/>
        <v>0</v>
      </c>
      <c r="P264" s="92">
        <f t="shared" si="165"/>
        <v>32.6</v>
      </c>
      <c r="Q264" s="92">
        <f t="shared" si="165"/>
        <v>1.9</v>
      </c>
      <c r="R264" s="92">
        <f t="shared" si="165"/>
        <v>6.6</v>
      </c>
      <c r="S264" s="92">
        <f t="shared" si="165"/>
        <v>312.10000000000002</v>
      </c>
      <c r="T264" s="92">
        <f t="shared" si="165"/>
        <v>238.3</v>
      </c>
      <c r="U264" s="92">
        <f t="shared" si="165"/>
        <v>0</v>
      </c>
    </row>
    <row r="265" spans="1:21" s="42" customFormat="1" outlineLevel="1" x14ac:dyDescent="0.2">
      <c r="A265" s="104" t="s">
        <v>452</v>
      </c>
      <c r="B265" s="43" t="s">
        <v>262</v>
      </c>
      <c r="C265" s="92">
        <f t="shared" ref="C265:U265" si="166">SUM(C266)</f>
        <v>391.40000000000003</v>
      </c>
      <c r="D265" s="92">
        <f t="shared" si="166"/>
        <v>384.8</v>
      </c>
      <c r="E265" s="92">
        <f t="shared" si="166"/>
        <v>270.8</v>
      </c>
      <c r="F265" s="92">
        <f t="shared" si="166"/>
        <v>6.6</v>
      </c>
      <c r="G265" s="92">
        <f t="shared" si="166"/>
        <v>0</v>
      </c>
      <c r="H265" s="92">
        <f t="shared" si="166"/>
        <v>0</v>
      </c>
      <c r="I265" s="92">
        <f t="shared" si="166"/>
        <v>0</v>
      </c>
      <c r="J265" s="92">
        <f t="shared" si="166"/>
        <v>0</v>
      </c>
      <c r="K265" s="92">
        <f t="shared" si="166"/>
        <v>0</v>
      </c>
      <c r="L265" s="92">
        <f t="shared" si="166"/>
        <v>0</v>
      </c>
      <c r="M265" s="92">
        <f t="shared" si="166"/>
        <v>40.1</v>
      </c>
      <c r="N265" s="92">
        <f t="shared" si="166"/>
        <v>30.6</v>
      </c>
      <c r="O265" s="92">
        <f t="shared" si="166"/>
        <v>0</v>
      </c>
      <c r="P265" s="92">
        <f t="shared" si="166"/>
        <v>32.6</v>
      </c>
      <c r="Q265" s="92">
        <f t="shared" si="166"/>
        <v>1.9</v>
      </c>
      <c r="R265" s="92">
        <f t="shared" si="166"/>
        <v>6.6</v>
      </c>
      <c r="S265" s="92">
        <f t="shared" si="166"/>
        <v>312.10000000000002</v>
      </c>
      <c r="T265" s="92">
        <f t="shared" si="166"/>
        <v>238.3</v>
      </c>
      <c r="U265" s="92">
        <f t="shared" si="166"/>
        <v>0</v>
      </c>
    </row>
    <row r="266" spans="1:21" outlineLevel="2" x14ac:dyDescent="0.2">
      <c r="A266" s="108" t="s">
        <v>453</v>
      </c>
      <c r="B266" s="51" t="s">
        <v>271</v>
      </c>
      <c r="C266" s="93">
        <f>D266+F266</f>
        <v>391.40000000000003</v>
      </c>
      <c r="D266" s="94">
        <f>G266+J266+M266+P266+S266</f>
        <v>384.8</v>
      </c>
      <c r="E266" s="94">
        <f>H266+K266+N266+Q266+T266</f>
        <v>270.8</v>
      </c>
      <c r="F266" s="94">
        <f>I266+L266+O266+R266+U266</f>
        <v>6.6</v>
      </c>
      <c r="G266" s="95"/>
      <c r="H266" s="95"/>
      <c r="I266" s="95"/>
      <c r="J266" s="95"/>
      <c r="K266" s="95"/>
      <c r="L266" s="95"/>
      <c r="M266" s="95">
        <f>ROUND([4]Lapas1!$B$4/1000,1)</f>
        <v>40.1</v>
      </c>
      <c r="N266" s="95">
        <f>ROUND([4]Lapas1!$C$4/1000,1)</f>
        <v>30.6</v>
      </c>
      <c r="O266" s="95"/>
      <c r="P266" s="95">
        <f>BIP!G14+' 2016 m. nepanaudotos pajamos'!G44+ROUND('[3]2017-05-18'!$P$244/1000,1)</f>
        <v>32.6</v>
      </c>
      <c r="Q266" s="95">
        <v>1.9</v>
      </c>
      <c r="R266" s="95">
        <f>ROUND('[3]2017-05-18'!$R$244/1000,1)</f>
        <v>6.6</v>
      </c>
      <c r="S266" s="95">
        <f>ROUND('[7]Meno mokykla'!$R$9/1000,1)</f>
        <v>312.10000000000002</v>
      </c>
      <c r="T266" s="95">
        <f>ROUND('[7]Meno mokykla'!$R$11/1000,1)</f>
        <v>238.3</v>
      </c>
      <c r="U266" s="95"/>
    </row>
    <row r="267" spans="1:21" s="42" customFormat="1" ht="25.5" x14ac:dyDescent="0.2">
      <c r="A267" s="107" t="s">
        <v>454</v>
      </c>
      <c r="B267" s="52" t="s">
        <v>455</v>
      </c>
      <c r="C267" s="92">
        <f t="shared" ref="C267:U267" si="167">C268</f>
        <v>227.9</v>
      </c>
      <c r="D267" s="92">
        <f t="shared" si="167"/>
        <v>206.9</v>
      </c>
      <c r="E267" s="92">
        <f t="shared" si="167"/>
        <v>111.3</v>
      </c>
      <c r="F267" s="92">
        <f t="shared" si="167"/>
        <v>21</v>
      </c>
      <c r="G267" s="92">
        <f t="shared" si="167"/>
        <v>0</v>
      </c>
      <c r="H267" s="92">
        <f t="shared" si="167"/>
        <v>0</v>
      </c>
      <c r="I267" s="92">
        <f t="shared" si="167"/>
        <v>0</v>
      </c>
      <c r="J267" s="92">
        <f t="shared" si="167"/>
        <v>0</v>
      </c>
      <c r="K267" s="92">
        <f t="shared" si="167"/>
        <v>0</v>
      </c>
      <c r="L267" s="92">
        <f t="shared" si="167"/>
        <v>0</v>
      </c>
      <c r="M267" s="92">
        <f t="shared" si="167"/>
        <v>0</v>
      </c>
      <c r="N267" s="92">
        <f t="shared" si="167"/>
        <v>0</v>
      </c>
      <c r="O267" s="92">
        <f t="shared" si="167"/>
        <v>0</v>
      </c>
      <c r="P267" s="92">
        <f t="shared" si="167"/>
        <v>33.1</v>
      </c>
      <c r="Q267" s="92">
        <f t="shared" si="167"/>
        <v>0</v>
      </c>
      <c r="R267" s="92">
        <f t="shared" si="167"/>
        <v>0</v>
      </c>
      <c r="S267" s="92">
        <f t="shared" si="167"/>
        <v>173.8</v>
      </c>
      <c r="T267" s="92">
        <f t="shared" si="167"/>
        <v>111.3</v>
      </c>
      <c r="U267" s="92">
        <f t="shared" si="167"/>
        <v>21</v>
      </c>
    </row>
    <row r="268" spans="1:21" s="42" customFormat="1" ht="24.95" customHeight="1" outlineLevel="1" x14ac:dyDescent="0.2">
      <c r="A268" s="104" t="s">
        <v>456</v>
      </c>
      <c r="B268" s="43" t="s">
        <v>276</v>
      </c>
      <c r="C268" s="92">
        <f t="shared" ref="C268:U268" si="168">SUM(C269)</f>
        <v>227.9</v>
      </c>
      <c r="D268" s="92">
        <f t="shared" si="168"/>
        <v>206.9</v>
      </c>
      <c r="E268" s="92">
        <f t="shared" si="168"/>
        <v>111.3</v>
      </c>
      <c r="F268" s="92">
        <f t="shared" si="168"/>
        <v>21</v>
      </c>
      <c r="G268" s="92">
        <f t="shared" si="168"/>
        <v>0</v>
      </c>
      <c r="H268" s="92">
        <f t="shared" si="168"/>
        <v>0</v>
      </c>
      <c r="I268" s="92">
        <f t="shared" si="168"/>
        <v>0</v>
      </c>
      <c r="J268" s="92">
        <f t="shared" si="168"/>
        <v>0</v>
      </c>
      <c r="K268" s="92">
        <f t="shared" si="168"/>
        <v>0</v>
      </c>
      <c r="L268" s="92">
        <f t="shared" si="168"/>
        <v>0</v>
      </c>
      <c r="M268" s="92">
        <f t="shared" si="168"/>
        <v>0</v>
      </c>
      <c r="N268" s="92">
        <f t="shared" si="168"/>
        <v>0</v>
      </c>
      <c r="O268" s="92">
        <f t="shared" si="168"/>
        <v>0</v>
      </c>
      <c r="P268" s="92">
        <f t="shared" si="168"/>
        <v>33.1</v>
      </c>
      <c r="Q268" s="92">
        <f t="shared" si="168"/>
        <v>0</v>
      </c>
      <c r="R268" s="92">
        <f t="shared" si="168"/>
        <v>0</v>
      </c>
      <c r="S268" s="92">
        <f t="shared" si="168"/>
        <v>173.8</v>
      </c>
      <c r="T268" s="92">
        <f t="shared" si="168"/>
        <v>111.3</v>
      </c>
      <c r="U268" s="92">
        <f t="shared" si="168"/>
        <v>21</v>
      </c>
    </row>
    <row r="269" spans="1:21" outlineLevel="2" x14ac:dyDescent="0.2">
      <c r="A269" s="108" t="s">
        <v>457</v>
      </c>
      <c r="B269" s="51" t="s">
        <v>283</v>
      </c>
      <c r="C269" s="93">
        <f>D269+F269</f>
        <v>227.9</v>
      </c>
      <c r="D269" s="94">
        <f>G269+J269+M269+P269+S269</f>
        <v>206.9</v>
      </c>
      <c r="E269" s="94">
        <f>H269+K269+N269+Q269+T269</f>
        <v>111.3</v>
      </c>
      <c r="F269" s="94">
        <f>I269+L269+O269+R269+U269</f>
        <v>21</v>
      </c>
      <c r="G269" s="95"/>
      <c r="H269" s="95"/>
      <c r="I269" s="95"/>
      <c r="J269" s="95"/>
      <c r="K269" s="95"/>
      <c r="L269" s="95"/>
      <c r="M269" s="95"/>
      <c r="N269" s="95"/>
      <c r="O269" s="95"/>
      <c r="P269" s="95">
        <f>BIP!G27+' 2016 m. nepanaudotos pajamos'!G47</f>
        <v>33.1</v>
      </c>
      <c r="Q269" s="95"/>
      <c r="R269" s="95"/>
      <c r="S269" s="95">
        <f>ROUND([7]Zidinys!$R$9/1000,1)+ROUND('[3]2017-06-28'!$S$261/1000,1)</f>
        <v>173.8</v>
      </c>
      <c r="T269" s="95">
        <f>ROUND([7]Zidinys!$R$11/1000,1)</f>
        <v>111.3</v>
      </c>
      <c r="U269" s="95">
        <f>ROUND([7]Zidinys!$R$40/1000,1)+ROUND('[3]2017-06-28'!$U$261/1000,1)</f>
        <v>21</v>
      </c>
    </row>
    <row r="270" spans="1:21" s="42" customFormat="1" x14ac:dyDescent="0.2">
      <c r="A270" s="107" t="s">
        <v>458</v>
      </c>
      <c r="B270" s="52" t="s">
        <v>459</v>
      </c>
      <c r="C270" s="92">
        <f t="shared" ref="C270:U270" si="169">C271</f>
        <v>576.59999999999991</v>
      </c>
      <c r="D270" s="92">
        <f t="shared" si="169"/>
        <v>533.19999999999993</v>
      </c>
      <c r="E270" s="92">
        <f t="shared" si="169"/>
        <v>346.1</v>
      </c>
      <c r="F270" s="92">
        <f t="shared" si="169"/>
        <v>43.4</v>
      </c>
      <c r="G270" s="92">
        <f t="shared" si="169"/>
        <v>526.29999999999995</v>
      </c>
      <c r="H270" s="92">
        <f t="shared" si="169"/>
        <v>343.5</v>
      </c>
      <c r="I270" s="92">
        <f t="shared" si="169"/>
        <v>0</v>
      </c>
      <c r="J270" s="92">
        <f t="shared" si="169"/>
        <v>0</v>
      </c>
      <c r="K270" s="92">
        <f t="shared" si="169"/>
        <v>0</v>
      </c>
      <c r="L270" s="92">
        <f t="shared" si="169"/>
        <v>0</v>
      </c>
      <c r="M270" s="92">
        <f t="shared" si="169"/>
        <v>0</v>
      </c>
      <c r="N270" s="92">
        <f t="shared" si="169"/>
        <v>0</v>
      </c>
      <c r="O270" s="92">
        <f t="shared" si="169"/>
        <v>0</v>
      </c>
      <c r="P270" s="92">
        <f t="shared" si="169"/>
        <v>0</v>
      </c>
      <c r="Q270" s="92">
        <f t="shared" si="169"/>
        <v>0</v>
      </c>
      <c r="R270" s="92">
        <f t="shared" si="169"/>
        <v>0</v>
      </c>
      <c r="S270" s="92">
        <f t="shared" si="169"/>
        <v>6.9</v>
      </c>
      <c r="T270" s="92">
        <f t="shared" si="169"/>
        <v>2.6</v>
      </c>
      <c r="U270" s="92">
        <f t="shared" si="169"/>
        <v>43.4</v>
      </c>
    </row>
    <row r="271" spans="1:21" s="42" customFormat="1" ht="24.95" customHeight="1" outlineLevel="1" x14ac:dyDescent="0.2">
      <c r="A271" s="104" t="s">
        <v>460</v>
      </c>
      <c r="B271" s="43" t="s">
        <v>200</v>
      </c>
      <c r="C271" s="92">
        <f t="shared" ref="C271:U271" si="170">SUM(C272)</f>
        <v>576.59999999999991</v>
      </c>
      <c r="D271" s="92">
        <f t="shared" si="170"/>
        <v>533.19999999999993</v>
      </c>
      <c r="E271" s="92">
        <f t="shared" si="170"/>
        <v>346.1</v>
      </c>
      <c r="F271" s="92">
        <f t="shared" si="170"/>
        <v>43.4</v>
      </c>
      <c r="G271" s="92">
        <f t="shared" si="170"/>
        <v>526.29999999999995</v>
      </c>
      <c r="H271" s="92">
        <f t="shared" si="170"/>
        <v>343.5</v>
      </c>
      <c r="I271" s="92">
        <f t="shared" si="170"/>
        <v>0</v>
      </c>
      <c r="J271" s="92">
        <f t="shared" si="170"/>
        <v>0</v>
      </c>
      <c r="K271" s="92">
        <f t="shared" si="170"/>
        <v>0</v>
      </c>
      <c r="L271" s="92">
        <f t="shared" si="170"/>
        <v>0</v>
      </c>
      <c r="M271" s="92">
        <f t="shared" si="170"/>
        <v>0</v>
      </c>
      <c r="N271" s="92">
        <f t="shared" si="170"/>
        <v>0</v>
      </c>
      <c r="O271" s="92">
        <f t="shared" si="170"/>
        <v>0</v>
      </c>
      <c r="P271" s="92">
        <f t="shared" si="170"/>
        <v>0</v>
      </c>
      <c r="Q271" s="92">
        <f t="shared" si="170"/>
        <v>0</v>
      </c>
      <c r="R271" s="92">
        <f t="shared" si="170"/>
        <v>0</v>
      </c>
      <c r="S271" s="92">
        <f t="shared" si="170"/>
        <v>6.9</v>
      </c>
      <c r="T271" s="92">
        <f t="shared" si="170"/>
        <v>2.6</v>
      </c>
      <c r="U271" s="92">
        <f t="shared" si="170"/>
        <v>43.4</v>
      </c>
    </row>
    <row r="272" spans="1:21" outlineLevel="2" x14ac:dyDescent="0.2">
      <c r="A272" s="108" t="s">
        <v>461</v>
      </c>
      <c r="B272" s="51" t="s">
        <v>462</v>
      </c>
      <c r="C272" s="93">
        <f>D272+F272</f>
        <v>576.59999999999991</v>
      </c>
      <c r="D272" s="94">
        <f>G272+J272+M272+P272+S272</f>
        <v>533.19999999999993</v>
      </c>
      <c r="E272" s="94">
        <f>H272+K272+N272+Q272+T272</f>
        <v>346.1</v>
      </c>
      <c r="F272" s="94">
        <f>I272+L272+O272+R272+U272</f>
        <v>43.4</v>
      </c>
      <c r="G272" s="95">
        <f>ROUND([9]VRM!$G$31/1000+'[3]2017-05-18'!$G$250/1000,1)</f>
        <v>526.29999999999995</v>
      </c>
      <c r="H272" s="95">
        <f>ROUND([9]VRM!$G$19/1000+'[3]2017-05-18'!$H$250/1000,1)</f>
        <v>343.5</v>
      </c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>
        <f>' 2016 m. nepanaudotos pajamos'!J50</f>
        <v>6.9</v>
      </c>
      <c r="T272" s="95">
        <f>' 2016 m. nepanaudotos pajamos'!K50</f>
        <v>2.6</v>
      </c>
      <c r="U272" s="95">
        <f>' 2016 m. nepanaudotos pajamos'!L50</f>
        <v>43.4</v>
      </c>
    </row>
    <row r="273" spans="1:21" s="42" customFormat="1" ht="25.5" x14ac:dyDescent="0.2">
      <c r="A273" s="107" t="s">
        <v>463</v>
      </c>
      <c r="B273" s="52" t="s">
        <v>464</v>
      </c>
      <c r="C273" s="92">
        <f t="shared" ref="C273:U273" si="171">C274</f>
        <v>790.6</v>
      </c>
      <c r="D273" s="92">
        <f t="shared" si="171"/>
        <v>60</v>
      </c>
      <c r="E273" s="92">
        <f t="shared" si="171"/>
        <v>0</v>
      </c>
      <c r="F273" s="92">
        <f t="shared" si="171"/>
        <v>730.6</v>
      </c>
      <c r="G273" s="92">
        <f t="shared" si="171"/>
        <v>0</v>
      </c>
      <c r="H273" s="92">
        <f t="shared" si="171"/>
        <v>0</v>
      </c>
      <c r="I273" s="92">
        <f>I274</f>
        <v>0</v>
      </c>
      <c r="J273" s="92">
        <f t="shared" si="171"/>
        <v>0</v>
      </c>
      <c r="K273" s="92">
        <f t="shared" si="171"/>
        <v>0</v>
      </c>
      <c r="L273" s="92">
        <f t="shared" si="171"/>
        <v>0</v>
      </c>
      <c r="M273" s="92">
        <f t="shared" si="171"/>
        <v>0</v>
      </c>
      <c r="N273" s="92">
        <f t="shared" si="171"/>
        <v>0</v>
      </c>
      <c r="O273" s="92">
        <f t="shared" si="171"/>
        <v>0</v>
      </c>
      <c r="P273" s="92">
        <f t="shared" si="171"/>
        <v>0</v>
      </c>
      <c r="Q273" s="92">
        <f t="shared" si="171"/>
        <v>0</v>
      </c>
      <c r="R273" s="92">
        <f t="shared" si="171"/>
        <v>0</v>
      </c>
      <c r="S273" s="92">
        <f t="shared" si="171"/>
        <v>60</v>
      </c>
      <c r="T273" s="92">
        <f t="shared" si="171"/>
        <v>0</v>
      </c>
      <c r="U273" s="92">
        <f t="shared" si="171"/>
        <v>730.6</v>
      </c>
    </row>
    <row r="274" spans="1:21" s="42" customFormat="1" outlineLevel="1" x14ac:dyDescent="0.2">
      <c r="A274" s="104" t="s">
        <v>465</v>
      </c>
      <c r="B274" s="43" t="s">
        <v>127</v>
      </c>
      <c r="C274" s="92">
        <f t="shared" ref="C274:U274" si="172">SUM(C275)</f>
        <v>790.6</v>
      </c>
      <c r="D274" s="92">
        <f t="shared" si="172"/>
        <v>60</v>
      </c>
      <c r="E274" s="92">
        <f t="shared" si="172"/>
        <v>0</v>
      </c>
      <c r="F274" s="92">
        <f t="shared" si="172"/>
        <v>730.6</v>
      </c>
      <c r="G274" s="92">
        <f t="shared" si="172"/>
        <v>0</v>
      </c>
      <c r="H274" s="92">
        <f t="shared" si="172"/>
        <v>0</v>
      </c>
      <c r="I274" s="92">
        <f t="shared" si="172"/>
        <v>0</v>
      </c>
      <c r="J274" s="92">
        <f t="shared" si="172"/>
        <v>0</v>
      </c>
      <c r="K274" s="92">
        <f t="shared" si="172"/>
        <v>0</v>
      </c>
      <c r="L274" s="92">
        <f t="shared" si="172"/>
        <v>0</v>
      </c>
      <c r="M274" s="92">
        <f t="shared" si="172"/>
        <v>0</v>
      </c>
      <c r="N274" s="92">
        <f t="shared" si="172"/>
        <v>0</v>
      </c>
      <c r="O274" s="92">
        <f t="shared" si="172"/>
        <v>0</v>
      </c>
      <c r="P274" s="92">
        <f t="shared" si="172"/>
        <v>0</v>
      </c>
      <c r="Q274" s="92">
        <f t="shared" si="172"/>
        <v>0</v>
      </c>
      <c r="R274" s="92">
        <f t="shared" si="172"/>
        <v>0</v>
      </c>
      <c r="S274" s="92">
        <f t="shared" si="172"/>
        <v>60</v>
      </c>
      <c r="T274" s="92">
        <f t="shared" si="172"/>
        <v>0</v>
      </c>
      <c r="U274" s="92">
        <f t="shared" si="172"/>
        <v>730.6</v>
      </c>
    </row>
    <row r="275" spans="1:21" ht="25.5" outlineLevel="2" x14ac:dyDescent="0.2">
      <c r="A275" s="108" t="s">
        <v>466</v>
      </c>
      <c r="B275" s="51" t="s">
        <v>553</v>
      </c>
      <c r="C275" s="93">
        <f>D275+F275</f>
        <v>790.6</v>
      </c>
      <c r="D275" s="94">
        <f>G275+J275+M275+P275+S275</f>
        <v>60</v>
      </c>
      <c r="E275" s="94">
        <f>H275+K275+N275+Q275+T275</f>
        <v>0</v>
      </c>
      <c r="F275" s="94">
        <f>I275+L275+O275+R275+U275</f>
        <v>730.6</v>
      </c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>
        <v>60</v>
      </c>
      <c r="T275" s="95"/>
      <c r="U275" s="95">
        <f>' 2016 m. nepanaudotos pajamos'!L53</f>
        <v>730.6</v>
      </c>
    </row>
    <row r="276" spans="1:21" s="42" customFormat="1" ht="15.75" customHeight="1" x14ac:dyDescent="0.2">
      <c r="A276" s="107"/>
      <c r="B276" s="53" t="s">
        <v>467</v>
      </c>
      <c r="C276" s="92">
        <f t="shared" ref="C276:U276" si="173">C15+C18+C131+C136+C141+C146+C151+C155+C160+C165+C170+C175+C180+C185+C190+C194+C197+C200+C206+C211+C217+C222+C227+C232+C237+C243+C248+C254+C259+C264++C267+C270+C273</f>
        <v>20132.500000000004</v>
      </c>
      <c r="D276" s="92">
        <f t="shared" si="173"/>
        <v>17352</v>
      </c>
      <c r="E276" s="92">
        <f t="shared" si="173"/>
        <v>6888.2000000000007</v>
      </c>
      <c r="F276" s="92">
        <f t="shared" si="173"/>
        <v>2780.4999999999995</v>
      </c>
      <c r="G276" s="92">
        <f t="shared" si="173"/>
        <v>3878.7999999999993</v>
      </c>
      <c r="H276" s="92">
        <f t="shared" si="173"/>
        <v>820.7</v>
      </c>
      <c r="I276" s="92">
        <f t="shared" si="173"/>
        <v>998.6</v>
      </c>
      <c r="J276" s="92">
        <f t="shared" si="173"/>
        <v>21.4</v>
      </c>
      <c r="K276" s="92">
        <f t="shared" si="173"/>
        <v>0</v>
      </c>
      <c r="L276" s="92">
        <f t="shared" si="173"/>
        <v>155</v>
      </c>
      <c r="M276" s="92">
        <f t="shared" si="173"/>
        <v>4096</v>
      </c>
      <c r="N276" s="92">
        <f t="shared" si="173"/>
        <v>2949.6</v>
      </c>
      <c r="O276" s="92">
        <f t="shared" si="173"/>
        <v>0.4</v>
      </c>
      <c r="P276" s="92">
        <f t="shared" si="173"/>
        <v>309.70000000000005</v>
      </c>
      <c r="Q276" s="92">
        <f t="shared" si="173"/>
        <v>1.9</v>
      </c>
      <c r="R276" s="92">
        <f t="shared" si="173"/>
        <v>6.6</v>
      </c>
      <c r="S276" s="92">
        <f t="shared" si="173"/>
        <v>9046.0999999999985</v>
      </c>
      <c r="T276" s="92">
        <f t="shared" si="173"/>
        <v>3116.0000000000005</v>
      </c>
      <c r="U276" s="92">
        <f t="shared" si="173"/>
        <v>1619.8999999999996</v>
      </c>
    </row>
    <row r="277" spans="1:21" s="42" customFormat="1" x14ac:dyDescent="0.2">
      <c r="A277" s="107"/>
      <c r="B277" s="101" t="s">
        <v>483</v>
      </c>
      <c r="C277" s="92">
        <f>SUM(C278:C293)</f>
        <v>20132.499999999996</v>
      </c>
      <c r="D277" s="92">
        <f>SUM(D278:D293)</f>
        <v>17352</v>
      </c>
      <c r="E277" s="92">
        <f>SUM(E278:E293)</f>
        <v>6888.2000000000007</v>
      </c>
      <c r="F277" s="92">
        <f t="shared" ref="F277:U277" si="174">SUM(F278:F293)</f>
        <v>2780.5</v>
      </c>
      <c r="G277" s="92">
        <f t="shared" si="174"/>
        <v>3878.7999999999997</v>
      </c>
      <c r="H277" s="92">
        <f t="shared" si="174"/>
        <v>820.7</v>
      </c>
      <c r="I277" s="92">
        <f t="shared" si="174"/>
        <v>998.6</v>
      </c>
      <c r="J277" s="92">
        <f t="shared" si="174"/>
        <v>21.4</v>
      </c>
      <c r="K277" s="92">
        <f t="shared" si="174"/>
        <v>0</v>
      </c>
      <c r="L277" s="92">
        <f t="shared" si="174"/>
        <v>155</v>
      </c>
      <c r="M277" s="92">
        <f t="shared" si="174"/>
        <v>4096</v>
      </c>
      <c r="N277" s="92">
        <f t="shared" si="174"/>
        <v>2949.6</v>
      </c>
      <c r="O277" s="92">
        <f t="shared" si="174"/>
        <v>0.4</v>
      </c>
      <c r="P277" s="92">
        <f t="shared" si="174"/>
        <v>309.70000000000005</v>
      </c>
      <c r="Q277" s="92">
        <f t="shared" si="174"/>
        <v>1.9</v>
      </c>
      <c r="R277" s="92">
        <f t="shared" si="174"/>
        <v>6.6</v>
      </c>
      <c r="S277" s="92">
        <f t="shared" si="174"/>
        <v>9046.0999999999985</v>
      </c>
      <c r="T277" s="92">
        <f t="shared" si="174"/>
        <v>3115.9999999999995</v>
      </c>
      <c r="U277" s="92">
        <f t="shared" si="174"/>
        <v>1619.8999999999999</v>
      </c>
    </row>
    <row r="278" spans="1:21" s="42" customFormat="1" x14ac:dyDescent="0.2">
      <c r="A278" s="107"/>
      <c r="B278" s="99" t="s">
        <v>127</v>
      </c>
      <c r="C278" s="92">
        <f t="shared" ref="C278:U278" si="175">C16+C19+C274</f>
        <v>3782.0999999999995</v>
      </c>
      <c r="D278" s="92">
        <f t="shared" si="175"/>
        <v>2976.0999999999995</v>
      </c>
      <c r="E278" s="92">
        <f t="shared" si="175"/>
        <v>1435.7</v>
      </c>
      <c r="F278" s="92">
        <f t="shared" si="175"/>
        <v>806</v>
      </c>
      <c r="G278" s="92">
        <f t="shared" si="175"/>
        <v>407.8</v>
      </c>
      <c r="H278" s="92">
        <f t="shared" si="175"/>
        <v>273.89999999999998</v>
      </c>
      <c r="I278" s="92">
        <f t="shared" si="175"/>
        <v>0</v>
      </c>
      <c r="J278" s="92">
        <f t="shared" si="175"/>
        <v>0</v>
      </c>
      <c r="K278" s="92">
        <f t="shared" si="175"/>
        <v>0</v>
      </c>
      <c r="L278" s="92">
        <f t="shared" si="175"/>
        <v>0</v>
      </c>
      <c r="M278" s="92">
        <f t="shared" si="175"/>
        <v>0</v>
      </c>
      <c r="N278" s="92">
        <f t="shared" si="175"/>
        <v>0</v>
      </c>
      <c r="O278" s="92">
        <f t="shared" si="175"/>
        <v>0</v>
      </c>
      <c r="P278" s="92">
        <f t="shared" si="175"/>
        <v>38.1</v>
      </c>
      <c r="Q278" s="92">
        <f t="shared" si="175"/>
        <v>0</v>
      </c>
      <c r="R278" s="92">
        <f t="shared" si="175"/>
        <v>0</v>
      </c>
      <c r="S278" s="92">
        <f t="shared" si="175"/>
        <v>2530.1999999999998</v>
      </c>
      <c r="T278" s="92">
        <f t="shared" si="175"/>
        <v>1161.8</v>
      </c>
      <c r="U278" s="92">
        <f t="shared" si="175"/>
        <v>806</v>
      </c>
    </row>
    <row r="279" spans="1:21" s="42" customFormat="1" x14ac:dyDescent="0.2">
      <c r="A279" s="107"/>
      <c r="B279" s="100" t="s">
        <v>164</v>
      </c>
      <c r="C279" s="92">
        <f t="shared" ref="C279:U279" si="176">C39</f>
        <v>27</v>
      </c>
      <c r="D279" s="92">
        <f t="shared" si="176"/>
        <v>27</v>
      </c>
      <c r="E279" s="92">
        <f t="shared" si="176"/>
        <v>0</v>
      </c>
      <c r="F279" s="92">
        <f t="shared" si="176"/>
        <v>0</v>
      </c>
      <c r="G279" s="92">
        <f t="shared" si="176"/>
        <v>0</v>
      </c>
      <c r="H279" s="92">
        <f t="shared" si="176"/>
        <v>0</v>
      </c>
      <c r="I279" s="92">
        <f t="shared" si="176"/>
        <v>0</v>
      </c>
      <c r="J279" s="92">
        <f t="shared" si="176"/>
        <v>0</v>
      </c>
      <c r="K279" s="92">
        <f t="shared" si="176"/>
        <v>0</v>
      </c>
      <c r="L279" s="92">
        <f t="shared" si="176"/>
        <v>0</v>
      </c>
      <c r="M279" s="92">
        <f t="shared" si="176"/>
        <v>0</v>
      </c>
      <c r="N279" s="92">
        <f t="shared" si="176"/>
        <v>0</v>
      </c>
      <c r="O279" s="92">
        <f t="shared" si="176"/>
        <v>0</v>
      </c>
      <c r="P279" s="92">
        <f t="shared" si="176"/>
        <v>0</v>
      </c>
      <c r="Q279" s="92">
        <f t="shared" si="176"/>
        <v>0</v>
      </c>
      <c r="R279" s="92">
        <f t="shared" si="176"/>
        <v>0</v>
      </c>
      <c r="S279" s="92">
        <f t="shared" si="176"/>
        <v>27</v>
      </c>
      <c r="T279" s="92">
        <f t="shared" si="176"/>
        <v>0</v>
      </c>
      <c r="U279" s="92">
        <f t="shared" si="176"/>
        <v>0</v>
      </c>
    </row>
    <row r="280" spans="1:21" s="42" customFormat="1" ht="24.95" customHeight="1" x14ac:dyDescent="0.2">
      <c r="A280" s="107"/>
      <c r="B280" s="99" t="s">
        <v>561</v>
      </c>
      <c r="C280" s="92">
        <f t="shared" ref="C280:U280" si="177">C43</f>
        <v>18.2</v>
      </c>
      <c r="D280" s="92">
        <f t="shared" si="177"/>
        <v>18.2</v>
      </c>
      <c r="E280" s="92">
        <f t="shared" si="177"/>
        <v>0</v>
      </c>
      <c r="F280" s="92">
        <f t="shared" si="177"/>
        <v>0</v>
      </c>
      <c r="G280" s="92">
        <f t="shared" si="177"/>
        <v>0</v>
      </c>
      <c r="H280" s="92">
        <f t="shared" si="177"/>
        <v>0</v>
      </c>
      <c r="I280" s="92">
        <f t="shared" si="177"/>
        <v>0</v>
      </c>
      <c r="J280" s="92">
        <f t="shared" si="177"/>
        <v>0</v>
      </c>
      <c r="K280" s="92">
        <f t="shared" si="177"/>
        <v>0</v>
      </c>
      <c r="L280" s="92">
        <f t="shared" si="177"/>
        <v>0</v>
      </c>
      <c r="M280" s="92">
        <f t="shared" si="177"/>
        <v>0</v>
      </c>
      <c r="N280" s="92">
        <f t="shared" si="177"/>
        <v>0</v>
      </c>
      <c r="O280" s="92">
        <f t="shared" si="177"/>
        <v>0</v>
      </c>
      <c r="P280" s="92">
        <f t="shared" si="177"/>
        <v>0</v>
      </c>
      <c r="Q280" s="92">
        <f t="shared" si="177"/>
        <v>0</v>
      </c>
      <c r="R280" s="92">
        <f t="shared" si="177"/>
        <v>0</v>
      </c>
      <c r="S280" s="92">
        <f t="shared" si="177"/>
        <v>18.2</v>
      </c>
      <c r="T280" s="92">
        <f t="shared" si="177"/>
        <v>0</v>
      </c>
      <c r="U280" s="92">
        <f t="shared" si="177"/>
        <v>0</v>
      </c>
    </row>
    <row r="281" spans="1:21" s="42" customFormat="1" x14ac:dyDescent="0.2">
      <c r="A281" s="107"/>
      <c r="B281" s="99" t="s">
        <v>176</v>
      </c>
      <c r="C281" s="92">
        <f t="shared" ref="C281:U281" si="178">C46</f>
        <v>187.1</v>
      </c>
      <c r="D281" s="92">
        <f t="shared" si="178"/>
        <v>187.1</v>
      </c>
      <c r="E281" s="92">
        <f t="shared" si="178"/>
        <v>0</v>
      </c>
      <c r="F281" s="92">
        <f t="shared" si="178"/>
        <v>0</v>
      </c>
      <c r="G281" s="92">
        <f t="shared" si="178"/>
        <v>0</v>
      </c>
      <c r="H281" s="92">
        <f t="shared" si="178"/>
        <v>0</v>
      </c>
      <c r="I281" s="92">
        <f t="shared" si="178"/>
        <v>0</v>
      </c>
      <c r="J281" s="92">
        <f t="shared" si="178"/>
        <v>0</v>
      </c>
      <c r="K281" s="92">
        <f t="shared" si="178"/>
        <v>0</v>
      </c>
      <c r="L281" s="92">
        <f t="shared" si="178"/>
        <v>0</v>
      </c>
      <c r="M281" s="92">
        <f t="shared" si="178"/>
        <v>0</v>
      </c>
      <c r="N281" s="92">
        <f t="shared" si="178"/>
        <v>0</v>
      </c>
      <c r="O281" s="92">
        <f t="shared" si="178"/>
        <v>0</v>
      </c>
      <c r="P281" s="92">
        <f t="shared" si="178"/>
        <v>0</v>
      </c>
      <c r="Q281" s="92">
        <f t="shared" si="178"/>
        <v>0</v>
      </c>
      <c r="R281" s="92">
        <f t="shared" si="178"/>
        <v>0</v>
      </c>
      <c r="S281" s="92">
        <f t="shared" si="178"/>
        <v>187.1</v>
      </c>
      <c r="T281" s="92">
        <f t="shared" si="178"/>
        <v>0</v>
      </c>
      <c r="U281" s="92">
        <f t="shared" si="178"/>
        <v>0</v>
      </c>
    </row>
    <row r="282" spans="1:21" s="42" customFormat="1" x14ac:dyDescent="0.2">
      <c r="A282" s="107"/>
      <c r="B282" s="99" t="s">
        <v>182</v>
      </c>
      <c r="C282" s="92">
        <f t="shared" ref="C282:U282" si="179">C50</f>
        <v>25</v>
      </c>
      <c r="D282" s="92">
        <f t="shared" si="179"/>
        <v>25</v>
      </c>
      <c r="E282" s="92">
        <f t="shared" si="179"/>
        <v>0</v>
      </c>
      <c r="F282" s="92">
        <f t="shared" si="179"/>
        <v>0</v>
      </c>
      <c r="G282" s="92">
        <f t="shared" si="179"/>
        <v>0</v>
      </c>
      <c r="H282" s="92">
        <f t="shared" si="179"/>
        <v>0</v>
      </c>
      <c r="I282" s="92">
        <f t="shared" si="179"/>
        <v>0</v>
      </c>
      <c r="J282" s="92">
        <f t="shared" si="179"/>
        <v>0</v>
      </c>
      <c r="K282" s="92">
        <f t="shared" si="179"/>
        <v>0</v>
      </c>
      <c r="L282" s="92">
        <f t="shared" si="179"/>
        <v>0</v>
      </c>
      <c r="M282" s="92">
        <f t="shared" si="179"/>
        <v>0</v>
      </c>
      <c r="N282" s="92">
        <f t="shared" si="179"/>
        <v>0</v>
      </c>
      <c r="O282" s="92">
        <f t="shared" si="179"/>
        <v>0</v>
      </c>
      <c r="P282" s="92">
        <f t="shared" si="179"/>
        <v>0</v>
      </c>
      <c r="Q282" s="92">
        <f t="shared" si="179"/>
        <v>0</v>
      </c>
      <c r="R282" s="92">
        <f t="shared" si="179"/>
        <v>0</v>
      </c>
      <c r="S282" s="92">
        <f t="shared" si="179"/>
        <v>25</v>
      </c>
      <c r="T282" s="92">
        <f t="shared" si="179"/>
        <v>0</v>
      </c>
      <c r="U282" s="92">
        <f t="shared" si="179"/>
        <v>0</v>
      </c>
    </row>
    <row r="283" spans="1:21" s="42" customFormat="1" x14ac:dyDescent="0.2">
      <c r="A283" s="107"/>
      <c r="B283" s="99" t="s">
        <v>190</v>
      </c>
      <c r="C283" s="92">
        <f t="shared" ref="C283:U283" si="180">C54</f>
        <v>230.6</v>
      </c>
      <c r="D283" s="92">
        <f t="shared" si="180"/>
        <v>230.6</v>
      </c>
      <c r="E283" s="92">
        <f t="shared" si="180"/>
        <v>9.8000000000000007</v>
      </c>
      <c r="F283" s="92">
        <f t="shared" si="180"/>
        <v>0</v>
      </c>
      <c r="G283" s="92">
        <f t="shared" si="180"/>
        <v>230.6</v>
      </c>
      <c r="H283" s="92">
        <f t="shared" si="180"/>
        <v>9.8000000000000007</v>
      </c>
      <c r="I283" s="92">
        <f t="shared" si="180"/>
        <v>0</v>
      </c>
      <c r="J283" s="92">
        <f t="shared" si="180"/>
        <v>0</v>
      </c>
      <c r="K283" s="92">
        <f t="shared" si="180"/>
        <v>0</v>
      </c>
      <c r="L283" s="92">
        <f t="shared" si="180"/>
        <v>0</v>
      </c>
      <c r="M283" s="92">
        <f t="shared" si="180"/>
        <v>0</v>
      </c>
      <c r="N283" s="92">
        <f t="shared" si="180"/>
        <v>0</v>
      </c>
      <c r="O283" s="92">
        <f t="shared" si="180"/>
        <v>0</v>
      </c>
      <c r="P283" s="92">
        <f t="shared" si="180"/>
        <v>0</v>
      </c>
      <c r="Q283" s="92">
        <f t="shared" si="180"/>
        <v>0</v>
      </c>
      <c r="R283" s="92">
        <f t="shared" si="180"/>
        <v>0</v>
      </c>
      <c r="S283" s="92">
        <f t="shared" si="180"/>
        <v>0</v>
      </c>
      <c r="T283" s="92">
        <f t="shared" si="180"/>
        <v>0</v>
      </c>
      <c r="U283" s="92">
        <f t="shared" si="180"/>
        <v>0</v>
      </c>
    </row>
    <row r="284" spans="1:21" s="42" customFormat="1" x14ac:dyDescent="0.2">
      <c r="A284" s="107"/>
      <c r="B284" s="99" t="s">
        <v>194</v>
      </c>
      <c r="C284" s="92">
        <f t="shared" ref="C284:U284" si="181">C56</f>
        <v>171.1</v>
      </c>
      <c r="D284" s="92">
        <f t="shared" si="181"/>
        <v>171.1</v>
      </c>
      <c r="E284" s="92">
        <f t="shared" si="181"/>
        <v>16</v>
      </c>
      <c r="F284" s="92">
        <f t="shared" si="181"/>
        <v>0</v>
      </c>
      <c r="G284" s="92">
        <f t="shared" si="181"/>
        <v>155.5</v>
      </c>
      <c r="H284" s="92">
        <f t="shared" si="181"/>
        <v>16</v>
      </c>
      <c r="I284" s="92">
        <f t="shared" si="181"/>
        <v>0</v>
      </c>
      <c r="J284" s="92">
        <f t="shared" si="181"/>
        <v>0</v>
      </c>
      <c r="K284" s="92">
        <f t="shared" si="181"/>
        <v>0</v>
      </c>
      <c r="L284" s="92">
        <f t="shared" si="181"/>
        <v>0</v>
      </c>
      <c r="M284" s="92">
        <f t="shared" si="181"/>
        <v>0</v>
      </c>
      <c r="N284" s="92">
        <f t="shared" si="181"/>
        <v>0</v>
      </c>
      <c r="O284" s="92">
        <f t="shared" si="181"/>
        <v>0</v>
      </c>
      <c r="P284" s="92">
        <f t="shared" si="181"/>
        <v>0</v>
      </c>
      <c r="Q284" s="92">
        <f t="shared" si="181"/>
        <v>0</v>
      </c>
      <c r="R284" s="92">
        <f t="shared" si="181"/>
        <v>0</v>
      </c>
      <c r="S284" s="92">
        <f t="shared" si="181"/>
        <v>15.6</v>
      </c>
      <c r="T284" s="92">
        <f t="shared" si="181"/>
        <v>0</v>
      </c>
      <c r="U284" s="92">
        <f t="shared" si="181"/>
        <v>0</v>
      </c>
    </row>
    <row r="285" spans="1:21" s="42" customFormat="1" ht="25.5" x14ac:dyDescent="0.2">
      <c r="A285" s="107"/>
      <c r="B285" s="99" t="s">
        <v>200</v>
      </c>
      <c r="C285" s="92">
        <f>C59+C132+C137+C142+C147+C152+C156+C166+C171+C176+C181+C186+C271+C161</f>
        <v>2693.1</v>
      </c>
      <c r="D285" s="92">
        <f t="shared" ref="D285:U285" si="182">D59+D132+D137+D142+D147+D152+D156+D166+D171+D176+D181+D186+D271+D161</f>
        <v>1918.3000000000004</v>
      </c>
      <c r="E285" s="92">
        <f t="shared" si="182"/>
        <v>403.1</v>
      </c>
      <c r="F285" s="92">
        <f t="shared" si="182"/>
        <v>774.8</v>
      </c>
      <c r="G285" s="92">
        <f t="shared" si="182"/>
        <v>934</v>
      </c>
      <c r="H285" s="92">
        <f t="shared" si="182"/>
        <v>343.5</v>
      </c>
      <c r="I285" s="92">
        <f t="shared" si="182"/>
        <v>603.6</v>
      </c>
      <c r="J285" s="92">
        <f t="shared" si="182"/>
        <v>0</v>
      </c>
      <c r="K285" s="92">
        <f t="shared" si="182"/>
        <v>0</v>
      </c>
      <c r="L285" s="92">
        <f t="shared" si="182"/>
        <v>0</v>
      </c>
      <c r="M285" s="92">
        <f t="shared" si="182"/>
        <v>0</v>
      </c>
      <c r="N285" s="92">
        <f t="shared" si="182"/>
        <v>0</v>
      </c>
      <c r="O285" s="92">
        <f t="shared" si="182"/>
        <v>0</v>
      </c>
      <c r="P285" s="92">
        <f t="shared" si="182"/>
        <v>30.3</v>
      </c>
      <c r="Q285" s="92">
        <f t="shared" si="182"/>
        <v>0</v>
      </c>
      <c r="R285" s="92">
        <f t="shared" si="182"/>
        <v>0</v>
      </c>
      <c r="S285" s="92">
        <f t="shared" si="182"/>
        <v>954</v>
      </c>
      <c r="T285" s="92">
        <f t="shared" si="182"/>
        <v>59.6</v>
      </c>
      <c r="U285" s="92">
        <f t="shared" si="182"/>
        <v>171.2</v>
      </c>
    </row>
    <row r="286" spans="1:21" s="42" customFormat="1" x14ac:dyDescent="0.2">
      <c r="A286" s="107"/>
      <c r="B286" s="99" t="s">
        <v>215</v>
      </c>
      <c r="C286" s="92">
        <f t="shared" ref="C286:U286" si="183">C68</f>
        <v>107.7</v>
      </c>
      <c r="D286" s="92">
        <f t="shared" si="183"/>
        <v>103.7</v>
      </c>
      <c r="E286" s="92">
        <f t="shared" si="183"/>
        <v>0</v>
      </c>
      <c r="F286" s="92">
        <f t="shared" si="183"/>
        <v>4</v>
      </c>
      <c r="G286" s="92">
        <f t="shared" si="183"/>
        <v>0</v>
      </c>
      <c r="H286" s="92">
        <f t="shared" si="183"/>
        <v>0</v>
      </c>
      <c r="I286" s="92">
        <f t="shared" si="183"/>
        <v>0</v>
      </c>
      <c r="J286" s="92">
        <f t="shared" si="183"/>
        <v>0</v>
      </c>
      <c r="K286" s="92">
        <f t="shared" si="183"/>
        <v>0</v>
      </c>
      <c r="L286" s="92">
        <f t="shared" si="183"/>
        <v>0</v>
      </c>
      <c r="M286" s="92">
        <f t="shared" si="183"/>
        <v>0</v>
      </c>
      <c r="N286" s="92">
        <f t="shared" si="183"/>
        <v>0</v>
      </c>
      <c r="O286" s="92">
        <f t="shared" si="183"/>
        <v>0</v>
      </c>
      <c r="P286" s="92">
        <f t="shared" si="183"/>
        <v>71.2</v>
      </c>
      <c r="Q286" s="92">
        <f t="shared" si="183"/>
        <v>0</v>
      </c>
      <c r="R286" s="92">
        <f t="shared" si="183"/>
        <v>0</v>
      </c>
      <c r="S286" s="92">
        <f t="shared" si="183"/>
        <v>32.5</v>
      </c>
      <c r="T286" s="92">
        <f t="shared" si="183"/>
        <v>0</v>
      </c>
      <c r="U286" s="92">
        <f t="shared" si="183"/>
        <v>4</v>
      </c>
    </row>
    <row r="287" spans="1:21" s="42" customFormat="1" x14ac:dyDescent="0.2">
      <c r="A287" s="107"/>
      <c r="B287" s="99" t="s">
        <v>221</v>
      </c>
      <c r="C287" s="92">
        <f t="shared" ref="C287:U287" si="184">C71</f>
        <v>764.59999999999991</v>
      </c>
      <c r="D287" s="92">
        <f t="shared" si="184"/>
        <v>173.3</v>
      </c>
      <c r="E287" s="92">
        <f t="shared" si="184"/>
        <v>0</v>
      </c>
      <c r="F287" s="92">
        <f t="shared" si="184"/>
        <v>591.29999999999995</v>
      </c>
      <c r="G287" s="92">
        <f t="shared" si="184"/>
        <v>0</v>
      </c>
      <c r="H287" s="92">
        <f t="shared" si="184"/>
        <v>0</v>
      </c>
      <c r="I287" s="92">
        <f t="shared" si="184"/>
        <v>0</v>
      </c>
      <c r="J287" s="92">
        <f t="shared" si="184"/>
        <v>5</v>
      </c>
      <c r="K287" s="92">
        <f t="shared" si="184"/>
        <v>0</v>
      </c>
      <c r="L287" s="92">
        <f t="shared" si="184"/>
        <v>155</v>
      </c>
      <c r="M287" s="92">
        <f t="shared" si="184"/>
        <v>0</v>
      </c>
      <c r="N287" s="92">
        <f t="shared" si="184"/>
        <v>0</v>
      </c>
      <c r="O287" s="92">
        <f t="shared" si="184"/>
        <v>0</v>
      </c>
      <c r="P287" s="92">
        <f t="shared" si="184"/>
        <v>0</v>
      </c>
      <c r="Q287" s="92">
        <f t="shared" si="184"/>
        <v>0</v>
      </c>
      <c r="R287" s="92">
        <f t="shared" si="184"/>
        <v>0</v>
      </c>
      <c r="S287" s="92">
        <f t="shared" si="184"/>
        <v>168.3</v>
      </c>
      <c r="T287" s="92">
        <f t="shared" si="184"/>
        <v>0</v>
      </c>
      <c r="U287" s="92">
        <f t="shared" si="184"/>
        <v>436.29999999999995</v>
      </c>
    </row>
    <row r="288" spans="1:21" s="42" customFormat="1" x14ac:dyDescent="0.2">
      <c r="A288" s="107"/>
      <c r="B288" s="99" t="s">
        <v>227</v>
      </c>
      <c r="C288" s="92">
        <f t="shared" ref="C288:U288" si="185">C74</f>
        <v>30.3</v>
      </c>
      <c r="D288" s="92">
        <f t="shared" si="185"/>
        <v>5.5</v>
      </c>
      <c r="E288" s="92">
        <f t="shared" si="185"/>
        <v>0</v>
      </c>
      <c r="F288" s="92">
        <f t="shared" si="185"/>
        <v>24.8</v>
      </c>
      <c r="G288" s="92">
        <f t="shared" si="185"/>
        <v>0.3</v>
      </c>
      <c r="H288" s="92">
        <f t="shared" si="185"/>
        <v>0</v>
      </c>
      <c r="I288" s="92">
        <f t="shared" si="185"/>
        <v>0</v>
      </c>
      <c r="J288" s="92">
        <f t="shared" si="185"/>
        <v>0</v>
      </c>
      <c r="K288" s="92">
        <f t="shared" si="185"/>
        <v>0</v>
      </c>
      <c r="L288" s="92">
        <f t="shared" si="185"/>
        <v>0</v>
      </c>
      <c r="M288" s="92">
        <f t="shared" si="185"/>
        <v>0</v>
      </c>
      <c r="N288" s="92">
        <f t="shared" si="185"/>
        <v>0</v>
      </c>
      <c r="O288" s="92">
        <f t="shared" si="185"/>
        <v>0</v>
      </c>
      <c r="P288" s="92">
        <f t="shared" si="185"/>
        <v>0</v>
      </c>
      <c r="Q288" s="92">
        <f t="shared" si="185"/>
        <v>0</v>
      </c>
      <c r="R288" s="92">
        <f t="shared" si="185"/>
        <v>0</v>
      </c>
      <c r="S288" s="92">
        <f t="shared" si="185"/>
        <v>5.2</v>
      </c>
      <c r="T288" s="92">
        <f t="shared" si="185"/>
        <v>0</v>
      </c>
      <c r="U288" s="92">
        <f t="shared" si="185"/>
        <v>24.8</v>
      </c>
    </row>
    <row r="289" spans="1:21" s="42" customFormat="1" ht="12.75" customHeight="1" x14ac:dyDescent="0.2">
      <c r="A289" s="107"/>
      <c r="B289" s="99" t="s">
        <v>233</v>
      </c>
      <c r="C289" s="92">
        <f t="shared" ref="C289:U289" si="186">C78+C191</f>
        <v>169.9</v>
      </c>
      <c r="D289" s="92">
        <f t="shared" si="186"/>
        <v>168.4</v>
      </c>
      <c r="E289" s="92">
        <f t="shared" si="186"/>
        <v>71.599999999999994</v>
      </c>
      <c r="F289" s="92">
        <f t="shared" si="186"/>
        <v>1.5</v>
      </c>
      <c r="G289" s="92">
        <f t="shared" si="186"/>
        <v>82.6</v>
      </c>
      <c r="H289" s="92">
        <f t="shared" si="186"/>
        <v>55.3</v>
      </c>
      <c r="I289" s="92">
        <f t="shared" si="186"/>
        <v>0</v>
      </c>
      <c r="J289" s="92">
        <f t="shared" si="186"/>
        <v>0</v>
      </c>
      <c r="K289" s="92">
        <f t="shared" si="186"/>
        <v>0</v>
      </c>
      <c r="L289" s="92">
        <f t="shared" si="186"/>
        <v>0</v>
      </c>
      <c r="M289" s="92">
        <f t="shared" si="186"/>
        <v>0</v>
      </c>
      <c r="N289" s="92">
        <f t="shared" si="186"/>
        <v>0</v>
      </c>
      <c r="O289" s="92">
        <f t="shared" si="186"/>
        <v>0</v>
      </c>
      <c r="P289" s="92">
        <f t="shared" si="186"/>
        <v>2</v>
      </c>
      <c r="Q289" s="92">
        <f t="shared" si="186"/>
        <v>0</v>
      </c>
      <c r="R289" s="92">
        <f t="shared" si="186"/>
        <v>0</v>
      </c>
      <c r="S289" s="92">
        <f>S78+S191</f>
        <v>83.8</v>
      </c>
      <c r="T289" s="92">
        <f t="shared" si="186"/>
        <v>16.3</v>
      </c>
      <c r="U289" s="92">
        <f t="shared" si="186"/>
        <v>1.5</v>
      </c>
    </row>
    <row r="290" spans="1:21" s="42" customFormat="1" x14ac:dyDescent="0.2">
      <c r="A290" s="107"/>
      <c r="B290" s="99" t="s">
        <v>241</v>
      </c>
      <c r="C290" s="92">
        <f t="shared" ref="C290:U290" si="187">C83+C198+C195</f>
        <v>1936.5</v>
      </c>
      <c r="D290" s="92">
        <f t="shared" si="187"/>
        <v>1555.2</v>
      </c>
      <c r="E290" s="92">
        <f t="shared" si="187"/>
        <v>388.4</v>
      </c>
      <c r="F290" s="92">
        <f t="shared" si="187"/>
        <v>381.3</v>
      </c>
      <c r="G290" s="92">
        <f t="shared" si="187"/>
        <v>0</v>
      </c>
      <c r="H290" s="92">
        <f t="shared" si="187"/>
        <v>0</v>
      </c>
      <c r="I290" s="92">
        <f t="shared" si="187"/>
        <v>315</v>
      </c>
      <c r="J290" s="92">
        <f t="shared" si="187"/>
        <v>0</v>
      </c>
      <c r="K290" s="92">
        <f t="shared" si="187"/>
        <v>0</v>
      </c>
      <c r="L290" s="92">
        <f t="shared" si="187"/>
        <v>0</v>
      </c>
      <c r="M290" s="92">
        <f t="shared" si="187"/>
        <v>0</v>
      </c>
      <c r="N290" s="92">
        <f t="shared" si="187"/>
        <v>0</v>
      </c>
      <c r="O290" s="92">
        <f t="shared" si="187"/>
        <v>0</v>
      </c>
      <c r="P290" s="92">
        <f t="shared" si="187"/>
        <v>2</v>
      </c>
      <c r="Q290" s="92">
        <f t="shared" si="187"/>
        <v>0</v>
      </c>
      <c r="R290" s="92">
        <f t="shared" si="187"/>
        <v>0</v>
      </c>
      <c r="S290" s="92">
        <f t="shared" si="187"/>
        <v>1553.2</v>
      </c>
      <c r="T290" s="92">
        <f t="shared" si="187"/>
        <v>388.4</v>
      </c>
      <c r="U290" s="92">
        <f t="shared" si="187"/>
        <v>66.3</v>
      </c>
    </row>
    <row r="291" spans="1:21" s="42" customFormat="1" ht="25.5" x14ac:dyDescent="0.2">
      <c r="A291" s="107"/>
      <c r="B291" s="99" t="s">
        <v>254</v>
      </c>
      <c r="C291" s="92">
        <f t="shared" ref="C291:U291" si="188">C91</f>
        <v>108.5</v>
      </c>
      <c r="D291" s="92">
        <f t="shared" si="188"/>
        <v>108.5</v>
      </c>
      <c r="E291" s="92">
        <f t="shared" si="188"/>
        <v>0</v>
      </c>
      <c r="F291" s="92">
        <f t="shared" si="188"/>
        <v>0</v>
      </c>
      <c r="G291" s="92">
        <f t="shared" si="188"/>
        <v>0</v>
      </c>
      <c r="H291" s="92">
        <f t="shared" si="188"/>
        <v>0</v>
      </c>
      <c r="I291" s="92">
        <f t="shared" si="188"/>
        <v>0</v>
      </c>
      <c r="J291" s="92">
        <f t="shared" si="188"/>
        <v>0</v>
      </c>
      <c r="K291" s="92">
        <f t="shared" si="188"/>
        <v>0</v>
      </c>
      <c r="L291" s="92">
        <f t="shared" si="188"/>
        <v>0</v>
      </c>
      <c r="M291" s="92">
        <f t="shared" si="188"/>
        <v>0</v>
      </c>
      <c r="N291" s="92">
        <f t="shared" si="188"/>
        <v>0</v>
      </c>
      <c r="O291" s="92">
        <f t="shared" si="188"/>
        <v>0</v>
      </c>
      <c r="P291" s="92">
        <f t="shared" si="188"/>
        <v>0</v>
      </c>
      <c r="Q291" s="92">
        <f t="shared" si="188"/>
        <v>0</v>
      </c>
      <c r="R291" s="92">
        <f t="shared" si="188"/>
        <v>0</v>
      </c>
      <c r="S291" s="92">
        <f t="shared" si="188"/>
        <v>108.5</v>
      </c>
      <c r="T291" s="92">
        <f t="shared" si="188"/>
        <v>0</v>
      </c>
      <c r="U291" s="92">
        <f t="shared" si="188"/>
        <v>0</v>
      </c>
    </row>
    <row r="292" spans="1:21" s="42" customFormat="1" x14ac:dyDescent="0.2">
      <c r="A292" s="107"/>
      <c r="B292" s="99" t="s">
        <v>262</v>
      </c>
      <c r="C292" s="92">
        <f t="shared" ref="C292:U292" si="189">C106+C201+C207+C212+C218+C223+C228+C233+C238+C244+C249+C255+C260+C265</f>
        <v>7177.5999999999985</v>
      </c>
      <c r="D292" s="92">
        <f t="shared" si="189"/>
        <v>7039.9999999999991</v>
      </c>
      <c r="E292" s="92">
        <f t="shared" si="189"/>
        <v>4425.5</v>
      </c>
      <c r="F292" s="92">
        <f t="shared" si="189"/>
        <v>137.6</v>
      </c>
      <c r="G292" s="92">
        <f t="shared" si="189"/>
        <v>205.59999999999997</v>
      </c>
      <c r="H292" s="92">
        <f t="shared" si="189"/>
        <v>108.2</v>
      </c>
      <c r="I292" s="92">
        <f t="shared" si="189"/>
        <v>80</v>
      </c>
      <c r="J292" s="92">
        <f t="shared" si="189"/>
        <v>16.399999999999999</v>
      </c>
      <c r="K292" s="92">
        <f t="shared" si="189"/>
        <v>0</v>
      </c>
      <c r="L292" s="92">
        <f t="shared" si="189"/>
        <v>0</v>
      </c>
      <c r="M292" s="92">
        <f t="shared" si="189"/>
        <v>4096</v>
      </c>
      <c r="N292" s="92">
        <f t="shared" si="189"/>
        <v>2949.6</v>
      </c>
      <c r="O292" s="92">
        <f t="shared" si="189"/>
        <v>0.4</v>
      </c>
      <c r="P292" s="92">
        <f t="shared" si="189"/>
        <v>133</v>
      </c>
      <c r="Q292" s="92">
        <f t="shared" si="189"/>
        <v>1.9</v>
      </c>
      <c r="R292" s="92">
        <f t="shared" si="189"/>
        <v>6.6</v>
      </c>
      <c r="S292" s="92">
        <f t="shared" si="189"/>
        <v>2589</v>
      </c>
      <c r="T292" s="92">
        <f t="shared" si="189"/>
        <v>1365.8</v>
      </c>
      <c r="U292" s="92">
        <f t="shared" si="189"/>
        <v>50.6</v>
      </c>
    </row>
    <row r="293" spans="1:21" s="42" customFormat="1" ht="25.5" x14ac:dyDescent="0.2">
      <c r="A293" s="107"/>
      <c r="B293" s="99" t="s">
        <v>276</v>
      </c>
      <c r="C293" s="92">
        <f t="shared" ref="C293:U293" si="190">C114+C204+C209+C215+C220+C225+C230+C235+C241+C246+C252+C257+C262+C268</f>
        <v>2703.2</v>
      </c>
      <c r="D293" s="92">
        <f t="shared" si="190"/>
        <v>2644</v>
      </c>
      <c r="E293" s="92">
        <f t="shared" si="190"/>
        <v>138.1</v>
      </c>
      <c r="F293" s="92">
        <f t="shared" si="190"/>
        <v>59.2</v>
      </c>
      <c r="G293" s="92">
        <f t="shared" si="190"/>
        <v>1862.3999999999999</v>
      </c>
      <c r="H293" s="92">
        <f t="shared" si="190"/>
        <v>14</v>
      </c>
      <c r="I293" s="92">
        <f t="shared" si="190"/>
        <v>0</v>
      </c>
      <c r="J293" s="92">
        <f t="shared" si="190"/>
        <v>0</v>
      </c>
      <c r="K293" s="92">
        <f t="shared" si="190"/>
        <v>0</v>
      </c>
      <c r="L293" s="92">
        <f t="shared" si="190"/>
        <v>0</v>
      </c>
      <c r="M293" s="92">
        <f t="shared" si="190"/>
        <v>0</v>
      </c>
      <c r="N293" s="92">
        <f t="shared" si="190"/>
        <v>0</v>
      </c>
      <c r="O293" s="92">
        <f t="shared" si="190"/>
        <v>0</v>
      </c>
      <c r="P293" s="92">
        <f t="shared" si="190"/>
        <v>33.1</v>
      </c>
      <c r="Q293" s="92">
        <f t="shared" si="190"/>
        <v>0</v>
      </c>
      <c r="R293" s="92">
        <f t="shared" si="190"/>
        <v>0</v>
      </c>
      <c r="S293" s="92">
        <f t="shared" si="190"/>
        <v>748.5</v>
      </c>
      <c r="T293" s="92">
        <f t="shared" si="190"/>
        <v>124.1</v>
      </c>
      <c r="U293" s="92">
        <f t="shared" si="190"/>
        <v>59.2</v>
      </c>
    </row>
    <row r="294" spans="1:21" s="112" customFormat="1" ht="28.5" customHeight="1" x14ac:dyDescent="0.25">
      <c r="A294" s="109"/>
      <c r="B294" s="110" t="s">
        <v>468</v>
      </c>
      <c r="C294" s="111">
        <f>D294+F294</f>
        <v>730.6</v>
      </c>
      <c r="D294" s="111"/>
      <c r="E294" s="111"/>
      <c r="F294" s="111">
        <f>I294+L294+R294+U294</f>
        <v>730.6</v>
      </c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>
        <v>730.6</v>
      </c>
    </row>
    <row r="295" spans="1:21" ht="18.75" customHeight="1" x14ac:dyDescent="0.2">
      <c r="A295" s="54"/>
      <c r="B295" s="55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</row>
    <row r="296" spans="1:21" ht="15" customHeight="1" x14ac:dyDescent="0.2">
      <c r="A296" s="191" t="s">
        <v>469</v>
      </c>
      <c r="B296" s="191"/>
      <c r="C296" s="191"/>
      <c r="D296" s="191"/>
      <c r="E296" s="191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</row>
    <row r="297" spans="1:21" ht="15" customHeight="1" x14ac:dyDescent="0.2">
      <c r="A297" s="36"/>
      <c r="B297" s="35"/>
      <c r="C297" s="57"/>
      <c r="D297" s="36"/>
      <c r="E297" s="36"/>
      <c r="F297" s="36"/>
      <c r="G297" s="115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>
        <v>-612.9</v>
      </c>
      <c r="T297" s="36"/>
      <c r="U297" s="36"/>
    </row>
    <row r="298" spans="1:21" ht="15" x14ac:dyDescent="0.25">
      <c r="A298" s="32"/>
      <c r="C298" s="58"/>
      <c r="D298" s="58"/>
      <c r="E298" s="58"/>
      <c r="F298" s="58"/>
    </row>
    <row r="299" spans="1:21" x14ac:dyDescent="0.2">
      <c r="A299" s="59"/>
      <c r="C299" s="58"/>
      <c r="D299" s="58"/>
      <c r="E299" s="58"/>
      <c r="F299" s="58"/>
    </row>
    <row r="300" spans="1:21" x14ac:dyDescent="0.2">
      <c r="C300" s="58"/>
      <c r="E300" s="58"/>
    </row>
  </sheetData>
  <sortState ref="B103:V116">
    <sortCondition ref="B103:B116"/>
  </sortState>
  <mergeCells count="24">
    <mergeCell ref="A7:U7"/>
    <mergeCell ref="A10:A13"/>
    <mergeCell ref="B10:B13"/>
    <mergeCell ref="C10:C13"/>
    <mergeCell ref="D10:F11"/>
    <mergeCell ref="G10:U10"/>
    <mergeCell ref="G11:I11"/>
    <mergeCell ref="J11:L11"/>
    <mergeCell ref="M11:O11"/>
    <mergeCell ref="P11:R11"/>
    <mergeCell ref="S11:U11"/>
    <mergeCell ref="D12:E12"/>
    <mergeCell ref="F12:F13"/>
    <mergeCell ref="G12:H12"/>
    <mergeCell ref="I12:I13"/>
    <mergeCell ref="J12:K12"/>
    <mergeCell ref="S12:T12"/>
    <mergeCell ref="U12:U13"/>
    <mergeCell ref="A296:U296"/>
    <mergeCell ref="L12:L13"/>
    <mergeCell ref="M12:N12"/>
    <mergeCell ref="O12:O13"/>
    <mergeCell ref="P12:Q12"/>
    <mergeCell ref="R12:R13"/>
  </mergeCells>
  <printOptions horizontalCentered="1"/>
  <pageMargins left="0" right="0" top="0.39370078740157483" bottom="0" header="0.51181102362204722" footer="0.51181102362204722"/>
  <pageSetup paperSize="9" scale="68" fitToHeight="0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4"/>
  <sheetViews>
    <sheetView showZeros="0" workbookViewId="0">
      <selection activeCell="I7" sqref="I7"/>
    </sheetView>
  </sheetViews>
  <sheetFormatPr defaultColWidth="9.140625" defaultRowHeight="15.75" x14ac:dyDescent="0.25"/>
  <cols>
    <col min="1" max="1" width="6" style="116" customWidth="1"/>
    <col min="2" max="2" width="4.28515625" style="116" customWidth="1"/>
    <col min="3" max="3" width="65.42578125" style="116" customWidth="1"/>
    <col min="4" max="5" width="13.28515625" style="116" customWidth="1"/>
    <col min="6" max="16384" width="9.140625" style="116"/>
  </cols>
  <sheetData>
    <row r="1" spans="2:5" ht="17.25" customHeight="1" x14ac:dyDescent="0.25">
      <c r="D1" s="167" t="s">
        <v>566</v>
      </c>
      <c r="E1" s="12"/>
    </row>
    <row r="2" spans="2:5" ht="17.25" customHeight="1" x14ac:dyDescent="0.25">
      <c r="D2" s="167" t="s">
        <v>36</v>
      </c>
      <c r="E2" s="12"/>
    </row>
    <row r="3" spans="2:5" ht="17.25" customHeight="1" x14ac:dyDescent="0.25">
      <c r="D3" s="167" t="s">
        <v>583</v>
      </c>
      <c r="E3" s="12"/>
    </row>
    <row r="4" spans="2:5" ht="16.5" customHeight="1" x14ac:dyDescent="0.25">
      <c r="D4" s="167" t="s">
        <v>584</v>
      </c>
      <c r="E4" s="12"/>
    </row>
    <row r="5" spans="2:5" ht="16.5" customHeight="1" x14ac:dyDescent="0.25">
      <c r="D5" s="167" t="s">
        <v>585</v>
      </c>
      <c r="E5" s="12"/>
    </row>
    <row r="6" spans="2:5" ht="16.5" customHeight="1" x14ac:dyDescent="0.25">
      <c r="D6" s="167" t="s">
        <v>586</v>
      </c>
      <c r="E6" s="12"/>
    </row>
    <row r="7" spans="2:5" ht="18" customHeight="1" x14ac:dyDescent="0.25">
      <c r="B7" s="200" t="s">
        <v>554</v>
      </c>
      <c r="C7" s="200"/>
      <c r="D7" s="200"/>
      <c r="E7" s="200"/>
    </row>
    <row r="8" spans="2:5" ht="15.75" customHeight="1" x14ac:dyDescent="0.25">
      <c r="B8" s="201" t="s">
        <v>504</v>
      </c>
      <c r="C8" s="201"/>
      <c r="D8" s="201"/>
      <c r="E8" s="201"/>
    </row>
    <row r="9" spans="2:5" ht="18.75" customHeight="1" x14ac:dyDescent="0.25">
      <c r="B9" s="119"/>
      <c r="C9" s="119"/>
      <c r="D9" s="117" t="s">
        <v>37</v>
      </c>
    </row>
    <row r="10" spans="2:5" s="118" customFormat="1" x14ac:dyDescent="0.25">
      <c r="B10" s="197" t="s">
        <v>505</v>
      </c>
      <c r="C10" s="198"/>
      <c r="D10" s="198"/>
      <c r="E10" s="199"/>
    </row>
    <row r="11" spans="2:5" s="118" customFormat="1" x14ac:dyDescent="0.25">
      <c r="B11" s="140" t="s">
        <v>25</v>
      </c>
      <c r="C11" s="141"/>
      <c r="D11" s="202">
        <v>12</v>
      </c>
      <c r="E11" s="202"/>
    </row>
    <row r="12" spans="2:5" s="118" customFormat="1" x14ac:dyDescent="0.25">
      <c r="B12" s="142" t="s">
        <v>506</v>
      </c>
      <c r="C12" s="143"/>
      <c r="D12" s="202">
        <v>12</v>
      </c>
      <c r="E12" s="202"/>
    </row>
    <row r="13" spans="2:5" s="118" customFormat="1" x14ac:dyDescent="0.25">
      <c r="B13" s="142" t="s">
        <v>507</v>
      </c>
      <c r="C13" s="143"/>
      <c r="D13" s="202">
        <v>12</v>
      </c>
      <c r="E13" s="202"/>
    </row>
    <row r="14" spans="2:5" s="118" customFormat="1" x14ac:dyDescent="0.25">
      <c r="B14" s="144" t="s">
        <v>508</v>
      </c>
      <c r="C14" s="145"/>
      <c r="D14" s="196">
        <f>SUM(D11:D13)</f>
        <v>36</v>
      </c>
      <c r="E14" s="196"/>
    </row>
    <row r="15" spans="2:5" s="118" customFormat="1" ht="62.25" customHeight="1" x14ac:dyDescent="0.25">
      <c r="B15" s="207" t="s">
        <v>509</v>
      </c>
      <c r="C15" s="208"/>
      <c r="D15" s="129"/>
      <c r="E15" s="120" t="s">
        <v>541</v>
      </c>
    </row>
    <row r="16" spans="2:5" s="118" customFormat="1" ht="17.25" customHeight="1" x14ac:dyDescent="0.25">
      <c r="B16" s="203" t="s">
        <v>510</v>
      </c>
      <c r="C16" s="204"/>
      <c r="D16" s="134">
        <f>SUM(D17:D19)</f>
        <v>3</v>
      </c>
      <c r="E16" s="134">
        <f>SUM(E17:E19)</f>
        <v>14.4</v>
      </c>
    </row>
    <row r="17" spans="2:5" s="118" customFormat="1" ht="17.25" customHeight="1" x14ac:dyDescent="0.25">
      <c r="B17" s="128" t="s">
        <v>519</v>
      </c>
      <c r="C17" s="128" t="s">
        <v>520</v>
      </c>
      <c r="D17" s="131">
        <v>0</v>
      </c>
      <c r="E17" s="132">
        <f>4+3.5</f>
        <v>7.5</v>
      </c>
    </row>
    <row r="18" spans="2:5" s="118" customFormat="1" ht="31.5" customHeight="1" x14ac:dyDescent="0.25">
      <c r="B18" s="146" t="s">
        <v>521</v>
      </c>
      <c r="C18" s="146" t="s">
        <v>522</v>
      </c>
      <c r="D18" s="131">
        <v>0</v>
      </c>
      <c r="E18" s="132">
        <f>7.5-3.5</f>
        <v>4</v>
      </c>
    </row>
    <row r="19" spans="2:5" s="118" customFormat="1" ht="17.25" customHeight="1" x14ac:dyDescent="0.25">
      <c r="B19" s="128" t="s">
        <v>523</v>
      </c>
      <c r="C19" s="128" t="s">
        <v>524</v>
      </c>
      <c r="D19" s="131">
        <v>3</v>
      </c>
      <c r="E19" s="132">
        <v>2.9</v>
      </c>
    </row>
    <row r="20" spans="2:5" s="118" customFormat="1" ht="31.5" customHeight="1" x14ac:dyDescent="0.25">
      <c r="B20" s="209" t="s">
        <v>511</v>
      </c>
      <c r="C20" s="210"/>
      <c r="D20" s="134">
        <f>SUM(D21:D23)</f>
        <v>8.5</v>
      </c>
      <c r="E20" s="133"/>
    </row>
    <row r="21" spans="2:5" s="118" customFormat="1" ht="31.5" customHeight="1" x14ac:dyDescent="0.25">
      <c r="B21" s="147" t="s">
        <v>22</v>
      </c>
      <c r="C21" s="147" t="s">
        <v>525</v>
      </c>
      <c r="D21" s="131">
        <v>2.6</v>
      </c>
      <c r="E21" s="133"/>
    </row>
    <row r="22" spans="2:5" s="118" customFormat="1" ht="31.5" customHeight="1" x14ac:dyDescent="0.25">
      <c r="B22" s="147" t="s">
        <v>23</v>
      </c>
      <c r="C22" s="147" t="s">
        <v>526</v>
      </c>
      <c r="D22" s="131">
        <v>5</v>
      </c>
      <c r="E22" s="133"/>
    </row>
    <row r="23" spans="2:5" s="118" customFormat="1" ht="31.5" customHeight="1" x14ac:dyDescent="0.25">
      <c r="B23" s="139" t="s">
        <v>24</v>
      </c>
      <c r="C23" s="139" t="s">
        <v>527</v>
      </c>
      <c r="D23" s="131">
        <v>0.9</v>
      </c>
      <c r="E23" s="133"/>
    </row>
    <row r="24" spans="2:5" s="118" customFormat="1" ht="17.25" customHeight="1" x14ac:dyDescent="0.25">
      <c r="B24" s="211" t="s">
        <v>512</v>
      </c>
      <c r="C24" s="212"/>
      <c r="D24" s="154">
        <f>SUM(D25:D29)</f>
        <v>4.7</v>
      </c>
      <c r="E24" s="154">
        <f>SUM(E25:E29)</f>
        <v>1</v>
      </c>
    </row>
    <row r="25" spans="2:5" s="118" customFormat="1" ht="17.25" customHeight="1" x14ac:dyDescent="0.25">
      <c r="B25" s="148" t="s">
        <v>26</v>
      </c>
      <c r="C25" s="153" t="s">
        <v>533</v>
      </c>
      <c r="D25" s="155">
        <v>0</v>
      </c>
      <c r="E25" s="155">
        <v>1</v>
      </c>
    </row>
    <row r="26" spans="2:5" s="118" customFormat="1" ht="17.25" customHeight="1" x14ac:dyDescent="0.25">
      <c r="B26" s="149" t="s">
        <v>31</v>
      </c>
      <c r="C26" s="153" t="s">
        <v>528</v>
      </c>
      <c r="D26" s="155">
        <v>1</v>
      </c>
      <c r="E26" s="155">
        <v>0</v>
      </c>
    </row>
    <row r="27" spans="2:5" s="118" customFormat="1" ht="31.5" customHeight="1" x14ac:dyDescent="0.25">
      <c r="B27" s="148" t="s">
        <v>105</v>
      </c>
      <c r="C27" s="153" t="s">
        <v>532</v>
      </c>
      <c r="D27" s="155">
        <v>0.2</v>
      </c>
      <c r="E27" s="155">
        <v>0</v>
      </c>
    </row>
    <row r="28" spans="2:5" s="118" customFormat="1" ht="17.25" customHeight="1" x14ac:dyDescent="0.25">
      <c r="B28" s="149" t="s">
        <v>332</v>
      </c>
      <c r="C28" s="153" t="s">
        <v>529</v>
      </c>
      <c r="D28" s="155">
        <v>1.3</v>
      </c>
      <c r="E28" s="155">
        <v>0</v>
      </c>
    </row>
    <row r="29" spans="2:5" s="118" customFormat="1" ht="17.25" customHeight="1" x14ac:dyDescent="0.25">
      <c r="B29" s="149" t="s">
        <v>338</v>
      </c>
      <c r="C29" s="153" t="s">
        <v>530</v>
      </c>
      <c r="D29" s="155">
        <v>2.2000000000000002</v>
      </c>
      <c r="E29" s="155">
        <v>0</v>
      </c>
    </row>
    <row r="30" spans="2:5" s="118" customFormat="1" ht="17.25" customHeight="1" x14ac:dyDescent="0.25">
      <c r="B30" s="205" t="s">
        <v>513</v>
      </c>
      <c r="C30" s="206"/>
      <c r="D30" s="135">
        <f>SUM(D31)</f>
        <v>4.8</v>
      </c>
      <c r="E30" s="130">
        <f>SUM(E31)</f>
        <v>0.1</v>
      </c>
    </row>
    <row r="31" spans="2:5" s="118" customFormat="1" ht="17.25" customHeight="1" x14ac:dyDescent="0.25">
      <c r="B31" s="147" t="s">
        <v>343</v>
      </c>
      <c r="C31" s="147" t="s">
        <v>538</v>
      </c>
      <c r="D31" s="131">
        <v>4.8</v>
      </c>
      <c r="E31" s="133">
        <v>0.1</v>
      </c>
    </row>
    <row r="32" spans="2:5" s="118" customFormat="1" ht="17.25" customHeight="1" x14ac:dyDescent="0.25">
      <c r="B32" s="203" t="s">
        <v>514</v>
      </c>
      <c r="C32" s="204"/>
      <c r="D32" s="134">
        <f>SUM(D33:D35)</f>
        <v>12</v>
      </c>
      <c r="E32" s="130">
        <f>SUM(E33:E35)</f>
        <v>19.7</v>
      </c>
    </row>
    <row r="33" spans="2:5" s="118" customFormat="1" ht="17.25" customHeight="1" x14ac:dyDescent="0.25">
      <c r="B33" s="127" t="s">
        <v>348</v>
      </c>
      <c r="C33" s="127" t="s">
        <v>534</v>
      </c>
      <c r="D33" s="136">
        <v>12</v>
      </c>
      <c r="E33" s="132">
        <v>0</v>
      </c>
    </row>
    <row r="34" spans="2:5" s="118" customFormat="1" ht="31.5" customHeight="1" x14ac:dyDescent="0.25">
      <c r="B34" s="150" t="s">
        <v>354</v>
      </c>
      <c r="C34" s="150" t="s">
        <v>535</v>
      </c>
      <c r="D34" s="132">
        <v>0</v>
      </c>
      <c r="E34" s="132">
        <v>17.5</v>
      </c>
    </row>
    <row r="35" spans="2:5" s="118" customFormat="1" ht="31.5" customHeight="1" x14ac:dyDescent="0.25">
      <c r="B35" s="146" t="s">
        <v>360</v>
      </c>
      <c r="C35" s="146" t="s">
        <v>536</v>
      </c>
      <c r="D35" s="137">
        <v>0</v>
      </c>
      <c r="E35" s="133">
        <v>2.2000000000000002</v>
      </c>
    </row>
    <row r="36" spans="2:5" ht="17.25" customHeight="1" x14ac:dyDescent="0.25">
      <c r="B36" s="203" t="s">
        <v>515</v>
      </c>
      <c r="C36" s="204"/>
      <c r="D36" s="134">
        <f>SUM(D37:D38)</f>
        <v>3</v>
      </c>
      <c r="E36" s="133"/>
    </row>
    <row r="37" spans="2:5" ht="17.25" customHeight="1" x14ac:dyDescent="0.25">
      <c r="B37" s="128" t="s">
        <v>366</v>
      </c>
      <c r="C37" s="128" t="s">
        <v>537</v>
      </c>
      <c r="D37" s="131">
        <v>1</v>
      </c>
      <c r="E37" s="133"/>
    </row>
    <row r="38" spans="2:5" ht="31.5" customHeight="1" x14ac:dyDescent="0.25">
      <c r="B38" s="128" t="s">
        <v>371</v>
      </c>
      <c r="C38" s="126" t="s">
        <v>539</v>
      </c>
      <c r="D38" s="131">
        <v>2</v>
      </c>
      <c r="E38" s="133"/>
    </row>
    <row r="39" spans="2:5" ht="17.25" customHeight="1" x14ac:dyDescent="0.25">
      <c r="B39" s="194" t="s">
        <v>516</v>
      </c>
      <c r="C39" s="195"/>
      <c r="D39" s="138">
        <f>SUM(D16,D20,D24,D30,D32,D36)</f>
        <v>36</v>
      </c>
      <c r="E39" s="130">
        <f>SUM(E16,E20,E24,E30,E32,E36)</f>
        <v>35.200000000000003</v>
      </c>
    </row>
    <row r="40" spans="2:5" ht="6" customHeight="1" x14ac:dyDescent="0.25">
      <c r="B40" s="151"/>
      <c r="C40" s="151"/>
      <c r="D40" s="122"/>
    </row>
    <row r="41" spans="2:5" x14ac:dyDescent="0.25">
      <c r="B41" s="152"/>
      <c r="C41" s="152" t="s">
        <v>574</v>
      </c>
      <c r="D41" s="123"/>
      <c r="E41" s="121">
        <f>SUM(E42:E44)</f>
        <v>35.200000000000003</v>
      </c>
    </row>
    <row r="42" spans="2:5" x14ac:dyDescent="0.25">
      <c r="B42" s="152"/>
      <c r="C42" s="156" t="s">
        <v>506</v>
      </c>
      <c r="D42" s="124"/>
      <c r="E42" s="121">
        <v>19.7</v>
      </c>
    </row>
    <row r="43" spans="2:5" x14ac:dyDescent="0.25">
      <c r="B43" s="152" t="s">
        <v>517</v>
      </c>
      <c r="C43" s="125" t="s">
        <v>531</v>
      </c>
      <c r="D43" s="124"/>
      <c r="E43" s="121">
        <v>0.1</v>
      </c>
    </row>
    <row r="44" spans="2:5" x14ac:dyDescent="0.25">
      <c r="B44" s="152" t="s">
        <v>518</v>
      </c>
      <c r="C44" s="125" t="s">
        <v>540</v>
      </c>
      <c r="D44" s="123"/>
      <c r="E44" s="121">
        <v>15.4</v>
      </c>
    </row>
  </sheetData>
  <mergeCells count="15">
    <mergeCell ref="B39:C39"/>
    <mergeCell ref="D14:E14"/>
    <mergeCell ref="B10:E10"/>
    <mergeCell ref="B7:E7"/>
    <mergeCell ref="B8:E8"/>
    <mergeCell ref="D12:E12"/>
    <mergeCell ref="D13:E13"/>
    <mergeCell ref="D11:E11"/>
    <mergeCell ref="B32:C32"/>
    <mergeCell ref="B36:C36"/>
    <mergeCell ref="B30:C30"/>
    <mergeCell ref="B16:C16"/>
    <mergeCell ref="B15:C15"/>
    <mergeCell ref="B20:C20"/>
    <mergeCell ref="B24:C24"/>
  </mergeCells>
  <pageMargins left="0.19685039370078741" right="0.35433070866141736" top="0.19685039370078741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Zeros="0" workbookViewId="0">
      <selection activeCell="E28" sqref="E28"/>
    </sheetView>
  </sheetViews>
  <sheetFormatPr defaultColWidth="9.140625" defaultRowHeight="15" x14ac:dyDescent="0.25"/>
  <cols>
    <col min="1" max="1" width="5.5703125" style="60" bestFit="1" customWidth="1"/>
    <col min="2" max="2" width="10.28515625" style="60" customWidth="1"/>
    <col min="3" max="3" width="40" style="60" customWidth="1"/>
    <col min="4" max="7" width="10.7109375" style="60" customWidth="1"/>
    <col min="8" max="8" width="9.140625" style="60"/>
    <col min="9" max="10" width="10.85546875" style="60" bestFit="1" customWidth="1"/>
    <col min="11" max="16384" width="9.140625" style="60"/>
  </cols>
  <sheetData>
    <row r="1" spans="1:10" ht="15.75" x14ac:dyDescent="0.25">
      <c r="D1" s="167" t="s">
        <v>566</v>
      </c>
      <c r="E1" s="12"/>
      <c r="F1" s="12"/>
    </row>
    <row r="2" spans="1:10" ht="15.75" x14ac:dyDescent="0.25">
      <c r="D2" s="167" t="s">
        <v>36</v>
      </c>
      <c r="E2" s="12"/>
      <c r="F2" s="12"/>
      <c r="G2" s="12"/>
    </row>
    <row r="3" spans="1:10" ht="15.75" x14ac:dyDescent="0.25">
      <c r="D3" s="167" t="s">
        <v>583</v>
      </c>
      <c r="E3" s="12"/>
      <c r="F3" s="12"/>
    </row>
    <row r="4" spans="1:10" ht="15.75" x14ac:dyDescent="0.25">
      <c r="D4" s="167" t="s">
        <v>584</v>
      </c>
      <c r="E4" s="12"/>
      <c r="F4" s="12"/>
    </row>
    <row r="5" spans="1:10" ht="15.75" x14ac:dyDescent="0.25">
      <c r="D5" s="167" t="s">
        <v>620</v>
      </c>
      <c r="E5" s="12"/>
      <c r="F5" s="12"/>
    </row>
    <row r="6" spans="1:10" ht="15.75" x14ac:dyDescent="0.25">
      <c r="D6" s="167" t="s">
        <v>586</v>
      </c>
      <c r="E6" s="12"/>
      <c r="F6" s="12"/>
    </row>
    <row r="8" spans="1:10" ht="16.5" customHeight="1" x14ac:dyDescent="0.25">
      <c r="A8" s="214" t="s">
        <v>555</v>
      </c>
      <c r="B8" s="214"/>
      <c r="C8" s="214"/>
      <c r="D8" s="214"/>
      <c r="E8" s="214"/>
      <c r="F8" s="214"/>
      <c r="G8" s="214"/>
    </row>
    <row r="9" spans="1:10" ht="16.5" customHeight="1" x14ac:dyDescent="0.25">
      <c r="A9" s="81"/>
      <c r="B9" s="81"/>
      <c r="C9" s="81"/>
      <c r="D9" s="81"/>
      <c r="E9" s="81"/>
      <c r="F9" s="81"/>
      <c r="G9" s="81"/>
    </row>
    <row r="10" spans="1:10" x14ac:dyDescent="0.25">
      <c r="B10" s="82"/>
      <c r="C10" s="82"/>
      <c r="D10" s="82"/>
      <c r="E10" s="82"/>
      <c r="F10" s="82"/>
      <c r="G10" s="83" t="s">
        <v>37</v>
      </c>
    </row>
    <row r="11" spans="1:10" ht="31.5" customHeight="1" x14ac:dyDescent="0.25">
      <c r="A11" s="215" t="s">
        <v>114</v>
      </c>
      <c r="B11" s="216" t="s">
        <v>473</v>
      </c>
      <c r="C11" s="216" t="s">
        <v>474</v>
      </c>
      <c r="D11" s="215" t="s">
        <v>34</v>
      </c>
      <c r="E11" s="215" t="s">
        <v>475</v>
      </c>
      <c r="F11" s="215" t="s">
        <v>476</v>
      </c>
      <c r="G11" s="213" t="s">
        <v>477</v>
      </c>
    </row>
    <row r="12" spans="1:10" ht="40.5" customHeight="1" x14ac:dyDescent="0.25">
      <c r="A12" s="215"/>
      <c r="B12" s="216"/>
      <c r="C12" s="216"/>
      <c r="D12" s="215"/>
      <c r="E12" s="215"/>
      <c r="F12" s="215"/>
      <c r="G12" s="213"/>
    </row>
    <row r="13" spans="1:10" ht="40.5" customHeight="1" x14ac:dyDescent="0.25">
      <c r="A13" s="215"/>
      <c r="B13" s="216"/>
      <c r="C13" s="216"/>
      <c r="D13" s="215"/>
      <c r="E13" s="215"/>
      <c r="F13" s="215"/>
      <c r="G13" s="213"/>
    </row>
    <row r="14" spans="1:10" x14ac:dyDescent="0.25">
      <c r="A14" s="61" t="s">
        <v>0</v>
      </c>
      <c r="B14" s="62" t="s">
        <v>360</v>
      </c>
      <c r="C14" s="71" t="s">
        <v>482</v>
      </c>
      <c r="D14" s="65"/>
      <c r="E14" s="65"/>
      <c r="F14" s="65">
        <f>ROUND('[10]Specialiųjų programų lėšų atask'!$E$11/1000,1)</f>
        <v>35</v>
      </c>
      <c r="G14" s="84">
        <f t="shared" ref="G14:G29" si="0">SUM(D14:F14)</f>
        <v>35</v>
      </c>
    </row>
    <row r="15" spans="1:10" x14ac:dyDescent="0.25">
      <c r="A15" s="62" t="s">
        <v>12</v>
      </c>
      <c r="B15" s="62" t="s">
        <v>360</v>
      </c>
      <c r="C15" s="66" t="s">
        <v>480</v>
      </c>
      <c r="D15" s="67"/>
      <c r="E15" s="67"/>
      <c r="F15" s="67">
        <f>ROUND('[10]Specialiųjų programų lėšų atask'!$E$12/1000,1)</f>
        <v>33.1</v>
      </c>
      <c r="G15" s="85">
        <f t="shared" si="0"/>
        <v>33.1</v>
      </c>
      <c r="J15" s="68"/>
    </row>
    <row r="16" spans="1:10" x14ac:dyDescent="0.25">
      <c r="A16" s="62" t="s">
        <v>21</v>
      </c>
      <c r="B16" s="62" t="s">
        <v>360</v>
      </c>
      <c r="C16" s="63" t="s">
        <v>481</v>
      </c>
      <c r="D16" s="64"/>
      <c r="E16" s="64"/>
      <c r="F16" s="64">
        <f>ROUND('[10]Specialiųjų programų lėšų atask'!$E$13/1000,1)</f>
        <v>32</v>
      </c>
      <c r="G16" s="86">
        <f t="shared" si="0"/>
        <v>32</v>
      </c>
      <c r="J16" s="68"/>
    </row>
    <row r="17" spans="1:10" x14ac:dyDescent="0.25">
      <c r="A17" s="62" t="s">
        <v>22</v>
      </c>
      <c r="B17" s="62" t="s">
        <v>360</v>
      </c>
      <c r="C17" s="63" t="s">
        <v>445</v>
      </c>
      <c r="D17" s="78">
        <f>ROUND('[10]Specialiųjų programų lėšų atask'!$F$14/1000,1)</f>
        <v>2.2000000000000002</v>
      </c>
      <c r="E17" s="78">
        <f>ROUND('[10]Specialiųjų programų lėšų atask'!$E$14/1000-'[10]Specialiųjų programų lėšų atask'!$F$14/1000,1)</f>
        <v>7.2</v>
      </c>
      <c r="F17" s="78"/>
      <c r="G17" s="87">
        <f t="shared" si="0"/>
        <v>9.4</v>
      </c>
      <c r="J17" s="68"/>
    </row>
    <row r="18" spans="1:10" hidden="1" x14ac:dyDescent="0.25">
      <c r="A18" s="62" t="s">
        <v>23</v>
      </c>
      <c r="B18" s="62"/>
      <c r="C18" s="69" t="s">
        <v>479</v>
      </c>
      <c r="D18" s="70"/>
      <c r="E18" s="70"/>
      <c r="F18" s="70"/>
      <c r="G18" s="88">
        <f t="shared" si="0"/>
        <v>0</v>
      </c>
      <c r="J18" s="68"/>
    </row>
    <row r="19" spans="1:10" ht="30" x14ac:dyDescent="0.25">
      <c r="A19" s="62" t="s">
        <v>23</v>
      </c>
      <c r="B19" s="62" t="s">
        <v>360</v>
      </c>
      <c r="C19" s="63" t="s">
        <v>397</v>
      </c>
      <c r="D19" s="72">
        <f>ROUND('[10]Specialiųjų programų lėšų atask'!$F$15/1000,1)</f>
        <v>0.5</v>
      </c>
      <c r="E19" s="70"/>
      <c r="F19" s="72">
        <f>ROUND('[10]Specialiųjų programų lėšų atask'!$E$15/1000-'[10]Specialiųjų programų lėšų atask'!$F$15/1000,1)</f>
        <v>1.3</v>
      </c>
      <c r="G19" s="89">
        <f t="shared" si="0"/>
        <v>1.8</v>
      </c>
      <c r="J19" s="68"/>
    </row>
    <row r="20" spans="1:10" x14ac:dyDescent="0.25">
      <c r="A20" s="62" t="s">
        <v>24</v>
      </c>
      <c r="B20" s="62" t="s">
        <v>360</v>
      </c>
      <c r="C20" s="63" t="s">
        <v>403</v>
      </c>
      <c r="D20" s="64">
        <f>ROUND('[10]Specialiųjų programų lėšų atask'!$F$16/1000,1)</f>
        <v>0.4</v>
      </c>
      <c r="E20" s="64"/>
      <c r="F20" s="72">
        <f>ROUND('[10]Specialiųjų programų lėšų atask'!$E$16/1000-'[10]Specialiųjų programų lėšų atask'!$F$16/1000,1)</f>
        <v>3.7</v>
      </c>
      <c r="G20" s="86">
        <f t="shared" si="0"/>
        <v>4.1000000000000005</v>
      </c>
      <c r="J20" s="68"/>
    </row>
    <row r="21" spans="1:10" x14ac:dyDescent="0.25">
      <c r="A21" s="62" t="s">
        <v>26</v>
      </c>
      <c r="B21" s="62" t="s">
        <v>360</v>
      </c>
      <c r="C21" s="63" t="s">
        <v>409</v>
      </c>
      <c r="D21" s="64"/>
      <c r="E21" s="64"/>
      <c r="F21" s="64">
        <f>ROUND('[10]Specialiųjų programų lėšų atask'!$E$17/1000,1)</f>
        <v>0.2</v>
      </c>
      <c r="G21" s="86">
        <f t="shared" si="0"/>
        <v>0.2</v>
      </c>
      <c r="J21" s="68"/>
    </row>
    <row r="22" spans="1:10" ht="30" x14ac:dyDescent="0.25">
      <c r="A22" s="62" t="s">
        <v>31</v>
      </c>
      <c r="B22" s="62" t="s">
        <v>360</v>
      </c>
      <c r="C22" s="63" t="s">
        <v>439</v>
      </c>
      <c r="D22" s="64">
        <f>ROUND('[10]Specialiųjų programų lėšų atask'!$F$18/1000,1)</f>
        <v>0.2</v>
      </c>
      <c r="E22" s="72"/>
      <c r="F22" s="72">
        <f>ROUND('[10]Specialiųjų programų lėšų atask'!$E$18/1000-'[10]Specialiųjų programų lėšų atask'!$F$18/1000,1)</f>
        <v>5.8</v>
      </c>
      <c r="G22" s="89">
        <f t="shared" si="0"/>
        <v>6</v>
      </c>
      <c r="J22" s="68"/>
    </row>
    <row r="23" spans="1:10" x14ac:dyDescent="0.25">
      <c r="A23" s="62" t="s">
        <v>105</v>
      </c>
      <c r="B23" s="62" t="s">
        <v>360</v>
      </c>
      <c r="C23" s="79" t="s">
        <v>421</v>
      </c>
      <c r="D23" s="64">
        <f>ROUND('[10]Specialiųjų programų lėšų atask'!$F$19/1000,1)</f>
        <v>0.2</v>
      </c>
      <c r="E23" s="75"/>
      <c r="F23" s="72">
        <f>ROUND('[10]Specialiųjų programų lėšų atask'!$E$19/1000-'[10]Specialiųjų programų lėšų atask'!$F$19/1000,1)</f>
        <v>0.2</v>
      </c>
      <c r="G23" s="90">
        <f t="shared" si="0"/>
        <v>0.4</v>
      </c>
      <c r="J23" s="68"/>
    </row>
    <row r="24" spans="1:10" x14ac:dyDescent="0.25">
      <c r="A24" s="62" t="s">
        <v>332</v>
      </c>
      <c r="B24" s="62" t="s">
        <v>360</v>
      </c>
      <c r="C24" s="79" t="s">
        <v>427</v>
      </c>
      <c r="D24" s="64">
        <f>ROUND('[10]Specialiųjų programų lėšų atask'!$F$20/1000,1)</f>
        <v>0.1</v>
      </c>
      <c r="E24" s="75"/>
      <c r="F24" s="72">
        <f>ROUND('[10]Specialiųjų programų lėšų atask'!$E$20/1000-'[10]Specialiųjų programų lėšų atask'!$F$20/1000,1)</f>
        <v>0.4</v>
      </c>
      <c r="G24" s="90">
        <f t="shared" si="0"/>
        <v>0.5</v>
      </c>
      <c r="J24" s="68"/>
    </row>
    <row r="25" spans="1:10" x14ac:dyDescent="0.25">
      <c r="A25" s="62" t="s">
        <v>338</v>
      </c>
      <c r="B25" s="62" t="s">
        <v>360</v>
      </c>
      <c r="C25" s="73" t="s">
        <v>433</v>
      </c>
      <c r="D25" s="64">
        <f>ROUND('[10]Specialiųjų programų lėšų atask'!$F$21/1000,1)</f>
        <v>0.1</v>
      </c>
      <c r="E25" s="72"/>
      <c r="F25" s="72">
        <f>ROUND('[10]Specialiųjų programų lėšų atask'!$E$21/1000-'[10]Specialiųjų programų lėšų atask'!$F$21/1000,1)</f>
        <v>11.7</v>
      </c>
      <c r="G25" s="89">
        <f t="shared" si="0"/>
        <v>11.799999999999999</v>
      </c>
      <c r="J25" s="68"/>
    </row>
    <row r="26" spans="1:10" x14ac:dyDescent="0.25">
      <c r="A26" s="62" t="s">
        <v>343</v>
      </c>
      <c r="B26" s="62" t="s">
        <v>478</v>
      </c>
      <c r="C26" s="63" t="s">
        <v>126</v>
      </c>
      <c r="D26" s="64">
        <f>ROUND('[10]Specialiųjų programų lėšų atask'!$F$22/1000,1)</f>
        <v>30</v>
      </c>
      <c r="E26" s="64"/>
      <c r="F26" s="72">
        <f>ROUND('[10]Specialiųjų programų lėšų atask'!$E$22/1000-'[10]Specialiųjų programų lėšų atask'!$F$22/1000,1)</f>
        <v>0</v>
      </c>
      <c r="G26" s="86">
        <f t="shared" si="0"/>
        <v>30</v>
      </c>
      <c r="J26" s="68"/>
    </row>
    <row r="27" spans="1:10" ht="30" x14ac:dyDescent="0.25">
      <c r="A27" s="62" t="s">
        <v>348</v>
      </c>
      <c r="B27" s="62" t="s">
        <v>366</v>
      </c>
      <c r="C27" s="73" t="s">
        <v>455</v>
      </c>
      <c r="D27" s="64">
        <f>ROUND('[10]Specialiųjų programų lėšų atask'!$F$23/1000,1)</f>
        <v>0</v>
      </c>
      <c r="E27" s="72"/>
      <c r="F27" s="72">
        <f>ROUND('[10]Specialiųjų programų lėšų atask'!$E$23/1000,1)</f>
        <v>31</v>
      </c>
      <c r="G27" s="89">
        <f t="shared" si="0"/>
        <v>31</v>
      </c>
      <c r="J27" s="68"/>
    </row>
    <row r="28" spans="1:10" x14ac:dyDescent="0.25">
      <c r="A28" s="62" t="s">
        <v>354</v>
      </c>
      <c r="B28" s="74" t="s">
        <v>348</v>
      </c>
      <c r="C28" s="73" t="s">
        <v>367</v>
      </c>
      <c r="D28" s="64">
        <f>ROUND('[10]Specialiųjų programų lėšų atask'!$F$24/1000,1)</f>
        <v>0.1</v>
      </c>
      <c r="E28" s="72">
        <f>ROUND('[10]Specialiųjų programų lėšų atask'!$E$24/1000-'[10]Specialiųjų programų lėšų atask'!$F$24/1000,1)+ROUND('[3]2017-06-28'!$P$188/1000,1)</f>
        <v>1.9</v>
      </c>
      <c r="F28" s="72"/>
      <c r="G28" s="91">
        <f t="shared" si="0"/>
        <v>2</v>
      </c>
      <c r="J28" s="68"/>
    </row>
    <row r="29" spans="1:10" ht="30" x14ac:dyDescent="0.25">
      <c r="A29" s="62" t="s">
        <v>360</v>
      </c>
      <c r="B29" s="74" t="s">
        <v>343</v>
      </c>
      <c r="C29" s="80" t="s">
        <v>361</v>
      </c>
      <c r="D29" s="64">
        <f>ROUND('[10]Specialiųjų programų lėšų atask'!$F$25/1000,1)</f>
        <v>0</v>
      </c>
      <c r="E29" s="72">
        <f>ROUND('[10]Specialiųjų programų lėšų atask'!$E$25/1000,1)</f>
        <v>2</v>
      </c>
      <c r="F29" s="72"/>
      <c r="G29" s="91">
        <f t="shared" si="0"/>
        <v>2</v>
      </c>
      <c r="J29" s="68"/>
    </row>
    <row r="30" spans="1:10" x14ac:dyDescent="0.25">
      <c r="A30" s="62" t="s">
        <v>366</v>
      </c>
      <c r="B30" s="62"/>
      <c r="C30" s="76" t="s">
        <v>115</v>
      </c>
      <c r="D30" s="77">
        <f>SUM(D14:D29)</f>
        <v>33.800000000000004</v>
      </c>
      <c r="E30" s="77">
        <f>SUM(E14:E29)</f>
        <v>11.1</v>
      </c>
      <c r="F30" s="77">
        <f t="shared" ref="F30" si="1">SUM(F14:F29)</f>
        <v>154.4</v>
      </c>
      <c r="G30" s="77">
        <f>SUM(G14:G29)</f>
        <v>199.3</v>
      </c>
      <c r="I30" s="68"/>
      <c r="J30" s="68"/>
    </row>
  </sheetData>
  <sortState ref="B10:G25">
    <sortCondition ref="C10:C25"/>
  </sortState>
  <mergeCells count="8">
    <mergeCell ref="G11:G13"/>
    <mergeCell ref="A8:G8"/>
    <mergeCell ref="A11:A13"/>
    <mergeCell ref="B11:B13"/>
    <mergeCell ref="C11:C13"/>
    <mergeCell ref="D11:D13"/>
    <mergeCell ref="E11:E13"/>
    <mergeCell ref="F11:F13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Zeros="0" workbookViewId="0">
      <selection activeCell="H4" sqref="H4:H6"/>
    </sheetView>
  </sheetViews>
  <sheetFormatPr defaultColWidth="9.140625" defaultRowHeight="12.75" outlineLevelRow="2" x14ac:dyDescent="0.2"/>
  <cols>
    <col min="1" max="1" width="6.7109375" style="30" customWidth="1"/>
    <col min="2" max="2" width="45.7109375" style="31" customWidth="1"/>
    <col min="3" max="3" width="9.85546875" style="30" customWidth="1"/>
    <col min="4" max="5" width="8.7109375" style="30" customWidth="1"/>
    <col min="6" max="6" width="10.140625" style="30" customWidth="1"/>
    <col min="7" max="7" width="9.140625" style="30"/>
    <col min="8" max="8" width="8" style="30" customWidth="1"/>
    <col min="9" max="9" width="10.140625" style="30" customWidth="1"/>
    <col min="10" max="10" width="9.140625" style="30"/>
    <col min="11" max="11" width="8" style="30" customWidth="1"/>
    <col min="12" max="12" width="9.7109375" style="30" customWidth="1"/>
    <col min="13" max="16384" width="9.140625" style="30"/>
  </cols>
  <sheetData>
    <row r="1" spans="1:12" ht="15.75" x14ac:dyDescent="0.25">
      <c r="C1" s="33"/>
      <c r="D1" s="34"/>
      <c r="E1" s="34"/>
      <c r="H1" s="167" t="s">
        <v>566</v>
      </c>
      <c r="J1" s="33"/>
      <c r="K1" s="33"/>
      <c r="L1" s="12"/>
    </row>
    <row r="2" spans="1:12" ht="15.75" x14ac:dyDescent="0.25">
      <c r="C2" s="33"/>
      <c r="D2" s="34"/>
      <c r="E2" s="34"/>
      <c r="H2" s="167" t="s">
        <v>36</v>
      </c>
      <c r="J2" s="33"/>
      <c r="L2" s="12"/>
    </row>
    <row r="3" spans="1:12" ht="15.75" x14ac:dyDescent="0.25">
      <c r="C3" s="33"/>
      <c r="D3" s="34"/>
      <c r="E3" s="34"/>
      <c r="H3" s="167" t="s">
        <v>583</v>
      </c>
      <c r="J3" s="33"/>
      <c r="L3" s="12"/>
    </row>
    <row r="4" spans="1:12" ht="15.75" x14ac:dyDescent="0.25">
      <c r="C4" s="33"/>
      <c r="D4" s="34"/>
      <c r="E4" s="34"/>
      <c r="H4" s="167" t="s">
        <v>584</v>
      </c>
      <c r="J4" s="33"/>
      <c r="L4" s="12"/>
    </row>
    <row r="5" spans="1:12" ht="15.75" x14ac:dyDescent="0.25">
      <c r="C5" s="33"/>
      <c r="D5" s="34"/>
      <c r="E5" s="34"/>
      <c r="H5" s="167" t="s">
        <v>620</v>
      </c>
      <c r="J5" s="33"/>
      <c r="L5" s="12"/>
    </row>
    <row r="6" spans="1:12" ht="15.75" x14ac:dyDescent="0.25">
      <c r="C6" s="33"/>
      <c r="D6" s="34"/>
      <c r="E6" s="34"/>
      <c r="H6" s="167" t="s">
        <v>586</v>
      </c>
      <c r="J6" s="33"/>
      <c r="L6" s="12"/>
    </row>
    <row r="7" spans="1:12" x14ac:dyDescent="0.2">
      <c r="C7" s="34"/>
      <c r="D7" s="34"/>
      <c r="E7" s="34"/>
    </row>
    <row r="8" spans="1:12" ht="28.5" customHeight="1" x14ac:dyDescent="0.2">
      <c r="A8" s="192" t="s">
        <v>573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x14ac:dyDescent="0.2">
      <c r="B9" s="35"/>
      <c r="C9" s="35"/>
      <c r="D9" s="35"/>
      <c r="E9" s="114"/>
    </row>
    <row r="10" spans="1:12" x14ac:dyDescent="0.2">
      <c r="B10" s="35"/>
      <c r="C10" s="35"/>
      <c r="D10" s="35"/>
      <c r="E10" s="114"/>
      <c r="L10" s="30" t="s">
        <v>572</v>
      </c>
    </row>
    <row r="11" spans="1:12" ht="15.75" customHeight="1" x14ac:dyDescent="0.2">
      <c r="A11" s="190" t="s">
        <v>114</v>
      </c>
      <c r="B11" s="190" t="s">
        <v>568</v>
      </c>
      <c r="C11" s="190" t="s">
        <v>115</v>
      </c>
      <c r="D11" s="190" t="s">
        <v>116</v>
      </c>
      <c r="E11" s="190"/>
      <c r="F11" s="190"/>
      <c r="G11" s="217"/>
      <c r="H11" s="217"/>
      <c r="I11" s="217"/>
      <c r="J11" s="217"/>
      <c r="K11" s="217"/>
      <c r="L11" s="217"/>
    </row>
    <row r="12" spans="1:12" ht="60" customHeight="1" x14ac:dyDescent="0.2">
      <c r="A12" s="190"/>
      <c r="B12" s="190"/>
      <c r="C12" s="190"/>
      <c r="D12" s="190"/>
      <c r="E12" s="190"/>
      <c r="F12" s="190"/>
      <c r="G12" s="190" t="s">
        <v>119</v>
      </c>
      <c r="H12" s="190"/>
      <c r="I12" s="190"/>
      <c r="J12" s="190" t="s">
        <v>484</v>
      </c>
      <c r="K12" s="190"/>
      <c r="L12" s="190"/>
    </row>
    <row r="13" spans="1:12" ht="12.95" customHeight="1" x14ac:dyDescent="0.2">
      <c r="A13" s="190"/>
      <c r="B13" s="190"/>
      <c r="C13" s="190"/>
      <c r="D13" s="190" t="s">
        <v>120</v>
      </c>
      <c r="E13" s="190"/>
      <c r="F13" s="190" t="s">
        <v>491</v>
      </c>
      <c r="G13" s="190" t="s">
        <v>120</v>
      </c>
      <c r="H13" s="190"/>
      <c r="I13" s="190" t="s">
        <v>491</v>
      </c>
      <c r="J13" s="190" t="s">
        <v>120</v>
      </c>
      <c r="K13" s="190"/>
      <c r="L13" s="190" t="s">
        <v>491</v>
      </c>
    </row>
    <row r="14" spans="1:12" ht="69.75" customHeight="1" x14ac:dyDescent="0.2">
      <c r="A14" s="190"/>
      <c r="B14" s="190"/>
      <c r="C14" s="190"/>
      <c r="D14" s="37" t="s">
        <v>121</v>
      </c>
      <c r="E14" s="113" t="s">
        <v>122</v>
      </c>
      <c r="F14" s="190"/>
      <c r="G14" s="37" t="s">
        <v>121</v>
      </c>
      <c r="H14" s="113" t="s">
        <v>122</v>
      </c>
      <c r="I14" s="190"/>
      <c r="J14" s="37" t="s">
        <v>121</v>
      </c>
      <c r="K14" s="113" t="s">
        <v>122</v>
      </c>
      <c r="L14" s="190"/>
    </row>
    <row r="15" spans="1:12" x14ac:dyDescent="0.2">
      <c r="A15" s="39">
        <v>1</v>
      </c>
      <c r="B15" s="39">
        <v>2</v>
      </c>
      <c r="C15" s="39">
        <v>3</v>
      </c>
      <c r="D15" s="40">
        <v>4</v>
      </c>
      <c r="E15" s="39">
        <v>5</v>
      </c>
      <c r="F15" s="39">
        <v>6</v>
      </c>
      <c r="G15" s="40">
        <v>13</v>
      </c>
      <c r="H15" s="39">
        <v>14</v>
      </c>
      <c r="I15" s="39">
        <v>15</v>
      </c>
      <c r="J15" s="40">
        <v>16</v>
      </c>
      <c r="K15" s="39">
        <v>17</v>
      </c>
      <c r="L15" s="39">
        <v>18</v>
      </c>
    </row>
    <row r="16" spans="1:12" s="42" customFormat="1" ht="12.95" customHeight="1" x14ac:dyDescent="0.2">
      <c r="A16" s="104" t="s">
        <v>0</v>
      </c>
      <c r="B16" s="45" t="s">
        <v>126</v>
      </c>
      <c r="C16" s="92">
        <f t="shared" ref="C16:L16" si="0">C17+0+0+0+0+0+0+C19+C22+C25+0+0+0+0+0+C28</f>
        <v>780.1</v>
      </c>
      <c r="D16" s="92">
        <f t="shared" si="0"/>
        <v>315.60000000000002</v>
      </c>
      <c r="E16" s="92">
        <f t="shared" si="0"/>
        <v>0</v>
      </c>
      <c r="F16" s="92">
        <f t="shared" si="0"/>
        <v>464.5</v>
      </c>
      <c r="G16" s="92">
        <f t="shared" si="0"/>
        <v>73.599999999999994</v>
      </c>
      <c r="H16" s="92">
        <f t="shared" si="0"/>
        <v>0</v>
      </c>
      <c r="I16" s="92">
        <f t="shared" si="0"/>
        <v>0</v>
      </c>
      <c r="J16" s="92">
        <f t="shared" si="0"/>
        <v>242</v>
      </c>
      <c r="K16" s="92">
        <f t="shared" si="0"/>
        <v>0</v>
      </c>
      <c r="L16" s="92">
        <f t="shared" si="0"/>
        <v>464.5</v>
      </c>
    </row>
    <row r="17" spans="1:12" s="42" customFormat="1" x14ac:dyDescent="0.2">
      <c r="A17" s="104" t="s">
        <v>1</v>
      </c>
      <c r="B17" s="43" t="s">
        <v>127</v>
      </c>
      <c r="C17" s="92">
        <f t="shared" ref="C17:L17" si="1">SUM(C18:C18)</f>
        <v>38.1</v>
      </c>
      <c r="D17" s="92">
        <f t="shared" si="1"/>
        <v>38.1</v>
      </c>
      <c r="E17" s="92">
        <f t="shared" si="1"/>
        <v>0</v>
      </c>
      <c r="F17" s="92">
        <f t="shared" si="1"/>
        <v>0</v>
      </c>
      <c r="G17" s="92">
        <f t="shared" si="1"/>
        <v>38.1</v>
      </c>
      <c r="H17" s="92">
        <f t="shared" si="1"/>
        <v>0</v>
      </c>
      <c r="I17" s="92">
        <f t="shared" si="1"/>
        <v>0</v>
      </c>
      <c r="J17" s="92">
        <f t="shared" si="1"/>
        <v>0</v>
      </c>
      <c r="K17" s="92">
        <f t="shared" si="1"/>
        <v>0</v>
      </c>
      <c r="L17" s="92">
        <f t="shared" si="1"/>
        <v>0</v>
      </c>
    </row>
    <row r="18" spans="1:12" x14ac:dyDescent="0.2">
      <c r="A18" s="105" t="s">
        <v>124</v>
      </c>
      <c r="B18" s="44" t="s">
        <v>131</v>
      </c>
      <c r="C18" s="93">
        <f t="shared" ref="C18" si="2">D18+F18</f>
        <v>38.1</v>
      </c>
      <c r="D18" s="94">
        <f t="shared" ref="D18" si="3">0+0+0+G18+J18</f>
        <v>38.1</v>
      </c>
      <c r="E18" s="94">
        <f t="shared" ref="E18" si="4">0+0+0+H18+K18</f>
        <v>0</v>
      </c>
      <c r="F18" s="94">
        <f t="shared" ref="F18" si="5">0+0+0+I18+L18</f>
        <v>0</v>
      </c>
      <c r="G18" s="95">
        <f>ROUND([11]Budget_F2_Summary!$G$10/1000,1)</f>
        <v>38.1</v>
      </c>
      <c r="H18" s="95"/>
      <c r="I18" s="95"/>
      <c r="J18" s="94"/>
      <c r="K18" s="94"/>
      <c r="L18" s="95"/>
    </row>
    <row r="19" spans="1:12" s="42" customFormat="1" ht="25.5" x14ac:dyDescent="0.2">
      <c r="A19" s="107" t="s">
        <v>3</v>
      </c>
      <c r="B19" s="48" t="s">
        <v>200</v>
      </c>
      <c r="C19" s="96">
        <f t="shared" ref="C19:L19" si="6">SUM(C20:C21)</f>
        <v>133.6</v>
      </c>
      <c r="D19" s="96">
        <f t="shared" si="6"/>
        <v>115.5</v>
      </c>
      <c r="E19" s="96">
        <f t="shared" si="6"/>
        <v>0</v>
      </c>
      <c r="F19" s="96">
        <f t="shared" si="6"/>
        <v>18.100000000000001</v>
      </c>
      <c r="G19" s="96">
        <f t="shared" si="6"/>
        <v>0.3</v>
      </c>
      <c r="H19" s="96">
        <f t="shared" si="6"/>
        <v>0</v>
      </c>
      <c r="I19" s="96">
        <f t="shared" si="6"/>
        <v>0</v>
      </c>
      <c r="J19" s="96">
        <f t="shared" si="6"/>
        <v>115.2</v>
      </c>
      <c r="K19" s="96">
        <f t="shared" si="6"/>
        <v>0</v>
      </c>
      <c r="L19" s="96">
        <f t="shared" si="6"/>
        <v>18.100000000000001</v>
      </c>
    </row>
    <row r="20" spans="1:12" x14ac:dyDescent="0.2">
      <c r="A20" s="108" t="s">
        <v>69</v>
      </c>
      <c r="B20" s="46" t="s">
        <v>213</v>
      </c>
      <c r="C20" s="93">
        <f t="shared" ref="C20:C21" si="7">D20+F20</f>
        <v>18.400000000000002</v>
      </c>
      <c r="D20" s="94">
        <f t="shared" ref="D20:D21" si="8">0+0+0+G20+J20</f>
        <v>0.3</v>
      </c>
      <c r="E20" s="94">
        <f t="shared" ref="E20:E21" si="9">0+0+0+H20+K20</f>
        <v>0</v>
      </c>
      <c r="F20" s="94">
        <f t="shared" ref="F20:F21" si="10">0+0+0+I20+L20</f>
        <v>18.100000000000001</v>
      </c>
      <c r="G20" s="95">
        <f>ROUND([11]Budget_F2_Summary!$G$11/1000,1)</f>
        <v>0.3</v>
      </c>
      <c r="H20" s="95"/>
      <c r="I20" s="95"/>
      <c r="J20" s="95"/>
      <c r="K20" s="95"/>
      <c r="L20" s="94">
        <f>ROUND([11]Budget_F2_Summary!$G$22/1000,1)</f>
        <v>18.100000000000001</v>
      </c>
    </row>
    <row r="21" spans="1:12" x14ac:dyDescent="0.2">
      <c r="A21" s="108" t="s">
        <v>70</v>
      </c>
      <c r="B21" s="46" t="s">
        <v>207</v>
      </c>
      <c r="C21" s="93">
        <f t="shared" si="7"/>
        <v>115.2</v>
      </c>
      <c r="D21" s="94">
        <f t="shared" si="8"/>
        <v>115.2</v>
      </c>
      <c r="E21" s="94">
        <f t="shared" si="9"/>
        <v>0</v>
      </c>
      <c r="F21" s="94">
        <f t="shared" si="10"/>
        <v>0</v>
      </c>
      <c r="G21" s="95"/>
      <c r="H21" s="95"/>
      <c r="I21" s="95"/>
      <c r="J21" s="95">
        <f>ROUND([2]Budget_F2_Summary!$F$273/1000,1)</f>
        <v>115.2</v>
      </c>
      <c r="K21" s="95"/>
      <c r="L21" s="95"/>
    </row>
    <row r="22" spans="1:12" s="42" customFormat="1" ht="12.95" customHeight="1" x14ac:dyDescent="0.2">
      <c r="A22" s="107" t="s">
        <v>8</v>
      </c>
      <c r="B22" s="43" t="s">
        <v>215</v>
      </c>
      <c r="C22" s="96">
        <f>SUM(C23:C24)</f>
        <v>43.7</v>
      </c>
      <c r="D22" s="96">
        <f>SUM(D23:D24)</f>
        <v>43.7</v>
      </c>
      <c r="E22" s="96">
        <f>SUM(E23:E24)</f>
        <v>0</v>
      </c>
      <c r="F22" s="96">
        <f>SUM(F23:F24)</f>
        <v>0</v>
      </c>
      <c r="G22" s="96">
        <f t="shared" ref="G22:L22" si="11">SUM(G23:G24)</f>
        <v>35.200000000000003</v>
      </c>
      <c r="H22" s="96">
        <f t="shared" si="11"/>
        <v>0</v>
      </c>
      <c r="I22" s="96">
        <f t="shared" si="11"/>
        <v>0</v>
      </c>
      <c r="J22" s="96">
        <f>SUM(J23:J24)</f>
        <v>8.5</v>
      </c>
      <c r="K22" s="96">
        <f t="shared" si="11"/>
        <v>0</v>
      </c>
      <c r="L22" s="96">
        <f t="shared" si="11"/>
        <v>0</v>
      </c>
    </row>
    <row r="23" spans="1:12" s="42" customFormat="1" ht="25.5" x14ac:dyDescent="0.2">
      <c r="A23" s="108" t="s">
        <v>544</v>
      </c>
      <c r="B23" s="46" t="s">
        <v>219</v>
      </c>
      <c r="C23" s="93">
        <f>D23+F23</f>
        <v>8.5</v>
      </c>
      <c r="D23" s="94">
        <f>0+0+0+G23+J23</f>
        <v>8.5</v>
      </c>
      <c r="E23" s="94">
        <f t="shared" ref="D23:F24" si="12">0+0+0+H23+K23</f>
        <v>0</v>
      </c>
      <c r="F23" s="94">
        <f t="shared" si="12"/>
        <v>0</v>
      </c>
      <c r="G23" s="95"/>
      <c r="H23" s="95"/>
      <c r="I23" s="95"/>
      <c r="J23" s="95">
        <f>ROUND([11]Budget_F2_Summary!$G$21/1000,1)</f>
        <v>8.5</v>
      </c>
      <c r="K23" s="95"/>
      <c r="L23" s="95"/>
    </row>
    <row r="24" spans="1:12" x14ac:dyDescent="0.2">
      <c r="A24" s="108" t="s">
        <v>545</v>
      </c>
      <c r="B24" s="46" t="s">
        <v>217</v>
      </c>
      <c r="C24" s="93">
        <f>D24+F24</f>
        <v>35.200000000000003</v>
      </c>
      <c r="D24" s="94">
        <f t="shared" si="12"/>
        <v>35.200000000000003</v>
      </c>
      <c r="E24" s="94">
        <f t="shared" si="12"/>
        <v>0</v>
      </c>
      <c r="F24" s="94">
        <f t="shared" si="12"/>
        <v>0</v>
      </c>
      <c r="G24" s="93">
        <f>ROUND('[12]Po korekcijos su uzb. apyv'!$F$22/1000,1)</f>
        <v>35.200000000000003</v>
      </c>
      <c r="H24" s="93"/>
      <c r="I24" s="93"/>
      <c r="J24" s="93"/>
      <c r="K24" s="93"/>
      <c r="L24" s="93"/>
    </row>
    <row r="25" spans="1:12" s="42" customFormat="1" ht="12.95" customHeight="1" x14ac:dyDescent="0.2">
      <c r="A25" s="107" t="s">
        <v>546</v>
      </c>
      <c r="B25" s="43" t="s">
        <v>221</v>
      </c>
      <c r="C25" s="96">
        <f t="shared" ref="C25:L25" si="13">SUM(C26:C27)</f>
        <v>526.5</v>
      </c>
      <c r="D25" s="96">
        <f t="shared" si="13"/>
        <v>118.3</v>
      </c>
      <c r="E25" s="96">
        <f t="shared" si="13"/>
        <v>0</v>
      </c>
      <c r="F25" s="96">
        <f t="shared" si="13"/>
        <v>408.2</v>
      </c>
      <c r="G25" s="96">
        <f t="shared" si="13"/>
        <v>0</v>
      </c>
      <c r="H25" s="96">
        <f t="shared" si="13"/>
        <v>0</v>
      </c>
      <c r="I25" s="96">
        <f t="shared" si="13"/>
        <v>0</v>
      </c>
      <c r="J25" s="96">
        <f t="shared" si="13"/>
        <v>118.3</v>
      </c>
      <c r="K25" s="96">
        <f t="shared" si="13"/>
        <v>0</v>
      </c>
      <c r="L25" s="96">
        <f t="shared" si="13"/>
        <v>408.2</v>
      </c>
    </row>
    <row r="26" spans="1:12" ht="13.9" customHeight="1" x14ac:dyDescent="0.2">
      <c r="A26" s="108" t="s">
        <v>547</v>
      </c>
      <c r="B26" s="46" t="s">
        <v>223</v>
      </c>
      <c r="C26" s="93">
        <f>D26+F26</f>
        <v>476.5</v>
      </c>
      <c r="D26" s="94">
        <f t="shared" ref="D26:F27" si="14">0+0+0+G26+J26</f>
        <v>68.3</v>
      </c>
      <c r="E26" s="94">
        <f t="shared" si="14"/>
        <v>0</v>
      </c>
      <c r="F26" s="94">
        <f t="shared" si="14"/>
        <v>408.2</v>
      </c>
      <c r="G26" s="95"/>
      <c r="H26" s="95"/>
      <c r="I26" s="95"/>
      <c r="J26" s="95">
        <v>68.3</v>
      </c>
      <c r="K26" s="95"/>
      <c r="L26" s="95">
        <f>500+ROUND('[3]2017-05-18'!$X$64/1000,1)+ROUND('[3]2017-06-28'!$X$64/1000,1)</f>
        <v>408.2</v>
      </c>
    </row>
    <row r="27" spans="1:12" x14ac:dyDescent="0.2">
      <c r="A27" s="108" t="s">
        <v>548</v>
      </c>
      <c r="B27" s="46" t="s">
        <v>225</v>
      </c>
      <c r="C27" s="93">
        <f>D27+F27</f>
        <v>50</v>
      </c>
      <c r="D27" s="94">
        <f t="shared" si="14"/>
        <v>50</v>
      </c>
      <c r="E27" s="94">
        <f t="shared" si="14"/>
        <v>0</v>
      </c>
      <c r="F27" s="94">
        <f t="shared" si="14"/>
        <v>0</v>
      </c>
      <c r="G27" s="95"/>
      <c r="H27" s="95"/>
      <c r="I27" s="95"/>
      <c r="J27" s="95">
        <v>50</v>
      </c>
      <c r="K27" s="95"/>
      <c r="L27" s="95"/>
    </row>
    <row r="28" spans="1:12" s="42" customFormat="1" ht="25.5" x14ac:dyDescent="0.2">
      <c r="A28" s="107" t="s">
        <v>549</v>
      </c>
      <c r="B28" s="48" t="s">
        <v>276</v>
      </c>
      <c r="C28" s="92">
        <f t="shared" ref="C28:L28" si="15">SUM(C29:C29)</f>
        <v>38.200000000000003</v>
      </c>
      <c r="D28" s="92">
        <f t="shared" si="15"/>
        <v>0</v>
      </c>
      <c r="E28" s="92">
        <f t="shared" si="15"/>
        <v>0</v>
      </c>
      <c r="F28" s="92">
        <f t="shared" si="15"/>
        <v>38.200000000000003</v>
      </c>
      <c r="G28" s="92">
        <f t="shared" si="15"/>
        <v>0</v>
      </c>
      <c r="H28" s="92">
        <f t="shared" si="15"/>
        <v>0</v>
      </c>
      <c r="I28" s="92">
        <f t="shared" si="15"/>
        <v>0</v>
      </c>
      <c r="J28" s="92">
        <f t="shared" si="15"/>
        <v>0</v>
      </c>
      <c r="K28" s="92">
        <f t="shared" si="15"/>
        <v>0</v>
      </c>
      <c r="L28" s="92">
        <f t="shared" si="15"/>
        <v>38.200000000000003</v>
      </c>
    </row>
    <row r="29" spans="1:12" x14ac:dyDescent="0.2">
      <c r="A29" s="108" t="s">
        <v>550</v>
      </c>
      <c r="B29" s="46" t="s">
        <v>301</v>
      </c>
      <c r="C29" s="93">
        <f t="shared" ref="C29" si="16">D29+F29</f>
        <v>38.200000000000003</v>
      </c>
      <c r="D29" s="94">
        <f t="shared" ref="D29:E29" si="17">0+0+0+G29+J29</f>
        <v>0</v>
      </c>
      <c r="E29" s="94">
        <f t="shared" si="17"/>
        <v>0</v>
      </c>
      <c r="F29" s="94">
        <f>0+0+0+I29+L29</f>
        <v>38.200000000000003</v>
      </c>
      <c r="G29" s="95"/>
      <c r="H29" s="95"/>
      <c r="I29" s="95"/>
      <c r="J29" s="95"/>
      <c r="K29" s="95"/>
      <c r="L29" s="95">
        <f>ROUND([11]Budget_F2_Summary!$G$18/1000,1)</f>
        <v>38.200000000000003</v>
      </c>
    </row>
    <row r="30" spans="1:12" s="42" customFormat="1" collapsed="1" x14ac:dyDescent="0.2">
      <c r="A30" s="107" t="s">
        <v>12</v>
      </c>
      <c r="B30" s="52" t="s">
        <v>377</v>
      </c>
      <c r="C30" s="92">
        <f>C31+0</f>
        <v>0.1</v>
      </c>
      <c r="D30" s="92">
        <f t="shared" ref="D30:L30" si="18">D31</f>
        <v>0.1</v>
      </c>
      <c r="E30" s="92">
        <f t="shared" si="18"/>
        <v>0</v>
      </c>
      <c r="F30" s="92">
        <f t="shared" si="18"/>
        <v>0</v>
      </c>
      <c r="G30" s="92">
        <f t="shared" si="18"/>
        <v>0.1</v>
      </c>
      <c r="H30" s="92">
        <f t="shared" si="18"/>
        <v>0</v>
      </c>
      <c r="I30" s="92">
        <f t="shared" si="18"/>
        <v>0</v>
      </c>
      <c r="J30" s="92">
        <f t="shared" si="18"/>
        <v>0</v>
      </c>
      <c r="K30" s="92">
        <f t="shared" si="18"/>
        <v>0</v>
      </c>
      <c r="L30" s="92">
        <f t="shared" si="18"/>
        <v>0</v>
      </c>
    </row>
    <row r="31" spans="1:12" s="42" customFormat="1" x14ac:dyDescent="0.2">
      <c r="A31" s="104" t="s">
        <v>551</v>
      </c>
      <c r="B31" s="43" t="s">
        <v>262</v>
      </c>
      <c r="C31" s="92">
        <f t="shared" ref="C31:L31" si="19">SUM(C32)</f>
        <v>0.1</v>
      </c>
      <c r="D31" s="92">
        <f t="shared" si="19"/>
        <v>0.1</v>
      </c>
      <c r="E31" s="92">
        <f t="shared" si="19"/>
        <v>0</v>
      </c>
      <c r="F31" s="92">
        <f t="shared" si="19"/>
        <v>0</v>
      </c>
      <c r="G31" s="92">
        <f>SUM(G32)</f>
        <v>0.1</v>
      </c>
      <c r="H31" s="92">
        <f t="shared" si="19"/>
        <v>0</v>
      </c>
      <c r="I31" s="92">
        <f t="shared" si="19"/>
        <v>0</v>
      </c>
      <c r="J31" s="92">
        <f>SUM(J32)</f>
        <v>0</v>
      </c>
      <c r="K31" s="92">
        <f t="shared" si="19"/>
        <v>0</v>
      </c>
      <c r="L31" s="92">
        <f t="shared" si="19"/>
        <v>0</v>
      </c>
    </row>
    <row r="32" spans="1:12" ht="25.5" x14ac:dyDescent="0.2">
      <c r="A32" s="108" t="s">
        <v>552</v>
      </c>
      <c r="B32" s="51" t="s">
        <v>380</v>
      </c>
      <c r="C32" s="93">
        <f>D32+F32</f>
        <v>0.1</v>
      </c>
      <c r="D32" s="94">
        <f>0+0+0+G32+J32</f>
        <v>0.1</v>
      </c>
      <c r="E32" s="94">
        <f>0+0+0+H32+K32</f>
        <v>0</v>
      </c>
      <c r="F32" s="94">
        <f>0+0+0+I32+L32</f>
        <v>0</v>
      </c>
      <c r="G32" s="95">
        <f>ROUND('[10]2016 suvestine'!$Q$12/1000,1)</f>
        <v>0.1</v>
      </c>
      <c r="H32" s="95"/>
      <c r="I32" s="95"/>
      <c r="J32" s="95"/>
      <c r="K32" s="95"/>
      <c r="L32" s="95"/>
    </row>
    <row r="33" spans="1:12" s="42" customFormat="1" collapsed="1" x14ac:dyDescent="0.2">
      <c r="A33" s="107" t="s">
        <v>21</v>
      </c>
      <c r="B33" s="52" t="s">
        <v>385</v>
      </c>
      <c r="C33" s="92">
        <f>C34+0</f>
        <v>1.7999999999999998</v>
      </c>
      <c r="D33" s="92">
        <f t="shared" ref="D33:L33" si="20">D34</f>
        <v>1.7999999999999998</v>
      </c>
      <c r="E33" s="92">
        <f t="shared" si="20"/>
        <v>0</v>
      </c>
      <c r="F33" s="92">
        <f t="shared" si="20"/>
        <v>0</v>
      </c>
      <c r="G33" s="92">
        <f t="shared" si="20"/>
        <v>0.6</v>
      </c>
      <c r="H33" s="92">
        <f t="shared" si="20"/>
        <v>0</v>
      </c>
      <c r="I33" s="92">
        <f t="shared" si="20"/>
        <v>0</v>
      </c>
      <c r="J33" s="92">
        <f t="shared" si="20"/>
        <v>1.2</v>
      </c>
      <c r="K33" s="92">
        <f t="shared" si="20"/>
        <v>0</v>
      </c>
      <c r="L33" s="92">
        <f t="shared" si="20"/>
        <v>0</v>
      </c>
    </row>
    <row r="34" spans="1:12" s="42" customFormat="1" x14ac:dyDescent="0.2">
      <c r="A34" s="104" t="s">
        <v>44</v>
      </c>
      <c r="B34" s="43" t="s">
        <v>262</v>
      </c>
      <c r="C34" s="92">
        <f t="shared" ref="C34:L34" si="21">SUM(C35)</f>
        <v>1.7999999999999998</v>
      </c>
      <c r="D34" s="92">
        <f t="shared" si="21"/>
        <v>1.7999999999999998</v>
      </c>
      <c r="E34" s="92">
        <f t="shared" si="21"/>
        <v>0</v>
      </c>
      <c r="F34" s="92">
        <f t="shared" si="21"/>
        <v>0</v>
      </c>
      <c r="G34" s="92">
        <f t="shared" si="21"/>
        <v>0.6</v>
      </c>
      <c r="H34" s="92">
        <f t="shared" si="21"/>
        <v>0</v>
      </c>
      <c r="I34" s="92">
        <f t="shared" si="21"/>
        <v>0</v>
      </c>
      <c r="J34" s="92">
        <f t="shared" si="21"/>
        <v>1.2</v>
      </c>
      <c r="K34" s="92">
        <f t="shared" si="21"/>
        <v>0</v>
      </c>
      <c r="L34" s="92">
        <f t="shared" si="21"/>
        <v>0</v>
      </c>
    </row>
    <row r="35" spans="1:12" ht="25.5" x14ac:dyDescent="0.2">
      <c r="A35" s="108" t="s">
        <v>46</v>
      </c>
      <c r="B35" s="51" t="s">
        <v>380</v>
      </c>
      <c r="C35" s="93">
        <f>D35+F35</f>
        <v>1.7999999999999998</v>
      </c>
      <c r="D35" s="94">
        <f>0+0+0+G35+J35</f>
        <v>1.7999999999999998</v>
      </c>
      <c r="E35" s="94">
        <f>0+0+0+H35+K35</f>
        <v>0</v>
      </c>
      <c r="F35" s="94">
        <f>0+0+0+I35+L35</f>
        <v>0</v>
      </c>
      <c r="G35" s="95">
        <f>ROUND('[10]2016 suvestine'!$Q$23/1000,1)</f>
        <v>0.6</v>
      </c>
      <c r="H35" s="95"/>
      <c r="I35" s="95"/>
      <c r="J35" s="95">
        <f>ROUND('[3]2017-05-18'!$V$189/1000,1)</f>
        <v>1.2</v>
      </c>
      <c r="K35" s="95"/>
      <c r="L35" s="95"/>
    </row>
    <row r="36" spans="1:12" s="42" customFormat="1" collapsed="1" x14ac:dyDescent="0.2">
      <c r="A36" s="107" t="s">
        <v>22</v>
      </c>
      <c r="B36" s="52" t="s">
        <v>445</v>
      </c>
      <c r="C36" s="92">
        <f t="shared" ref="C36:L36" si="22">C37+0</f>
        <v>0.7</v>
      </c>
      <c r="D36" s="92">
        <f t="shared" si="22"/>
        <v>0.7</v>
      </c>
      <c r="E36" s="92">
        <f t="shared" si="22"/>
        <v>0</v>
      </c>
      <c r="F36" s="92">
        <f t="shared" si="22"/>
        <v>0</v>
      </c>
      <c r="G36" s="92">
        <f t="shared" si="22"/>
        <v>0.4</v>
      </c>
      <c r="H36" s="92">
        <f t="shared" si="22"/>
        <v>0</v>
      </c>
      <c r="I36" s="92">
        <f t="shared" si="22"/>
        <v>0</v>
      </c>
      <c r="J36" s="92">
        <f t="shared" si="22"/>
        <v>0.3</v>
      </c>
      <c r="K36" s="92">
        <f t="shared" si="22"/>
        <v>0</v>
      </c>
      <c r="L36" s="92">
        <f t="shared" si="22"/>
        <v>0</v>
      </c>
    </row>
    <row r="37" spans="1:12" s="42" customFormat="1" x14ac:dyDescent="0.2">
      <c r="A37" s="104" t="s">
        <v>308</v>
      </c>
      <c r="B37" s="43" t="s">
        <v>262</v>
      </c>
      <c r="C37" s="92">
        <f t="shared" ref="C37:L37" si="23">SUM(C38)</f>
        <v>0.7</v>
      </c>
      <c r="D37" s="92">
        <f t="shared" si="23"/>
        <v>0.7</v>
      </c>
      <c r="E37" s="92">
        <f t="shared" si="23"/>
        <v>0</v>
      </c>
      <c r="F37" s="92">
        <f t="shared" si="23"/>
        <v>0</v>
      </c>
      <c r="G37" s="92">
        <f t="shared" si="23"/>
        <v>0.4</v>
      </c>
      <c r="H37" s="92">
        <f t="shared" si="23"/>
        <v>0</v>
      </c>
      <c r="I37" s="92">
        <f t="shared" si="23"/>
        <v>0</v>
      </c>
      <c r="J37" s="92">
        <f t="shared" si="23"/>
        <v>0.3</v>
      </c>
      <c r="K37" s="92">
        <f t="shared" si="23"/>
        <v>0</v>
      </c>
      <c r="L37" s="92">
        <f t="shared" si="23"/>
        <v>0</v>
      </c>
    </row>
    <row r="38" spans="1:12" ht="25.5" x14ac:dyDescent="0.2">
      <c r="A38" s="108" t="s">
        <v>309</v>
      </c>
      <c r="B38" s="51" t="s">
        <v>380</v>
      </c>
      <c r="C38" s="93">
        <f>D38+F38</f>
        <v>0.7</v>
      </c>
      <c r="D38" s="94">
        <f>0+0+0+G38+J38</f>
        <v>0.7</v>
      </c>
      <c r="E38" s="94">
        <f>0+0+0+H38+K38</f>
        <v>0</v>
      </c>
      <c r="F38" s="94">
        <f>0+0+0+I38+L38</f>
        <v>0</v>
      </c>
      <c r="G38" s="95">
        <f>ROUND('[10]2016 suvestine'!$Q$14/1000,1)</f>
        <v>0.4</v>
      </c>
      <c r="H38" s="95"/>
      <c r="I38" s="95"/>
      <c r="J38" s="95">
        <f>ROUND('[3]2017-05-18'!$V$229/1000,1)</f>
        <v>0.3</v>
      </c>
      <c r="K38" s="95"/>
      <c r="L38" s="95"/>
    </row>
    <row r="39" spans="1:12" s="42" customFormat="1" x14ac:dyDescent="0.2">
      <c r="A39" s="107" t="s">
        <v>23</v>
      </c>
      <c r="B39" s="52" t="s">
        <v>494</v>
      </c>
      <c r="C39" s="92">
        <f>SUM(C40)</f>
        <v>40</v>
      </c>
      <c r="D39" s="92">
        <f t="shared" ref="D39:L40" si="24">SUM(D40)</f>
        <v>0</v>
      </c>
      <c r="E39" s="92">
        <f t="shared" si="24"/>
        <v>0</v>
      </c>
      <c r="F39" s="92">
        <f t="shared" si="24"/>
        <v>40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t="shared" si="24"/>
        <v>40</v>
      </c>
    </row>
    <row r="40" spans="1:12" s="42" customFormat="1" x14ac:dyDescent="0.2">
      <c r="A40" s="104" t="s">
        <v>313</v>
      </c>
      <c r="B40" s="43" t="s">
        <v>262</v>
      </c>
      <c r="C40" s="92">
        <f>SUM(C41)</f>
        <v>40</v>
      </c>
      <c r="D40" s="92">
        <f t="shared" si="24"/>
        <v>0</v>
      </c>
      <c r="E40" s="92">
        <f t="shared" si="24"/>
        <v>0</v>
      </c>
      <c r="F40" s="92">
        <f t="shared" si="24"/>
        <v>40</v>
      </c>
      <c r="G40" s="92">
        <f t="shared" si="24"/>
        <v>0</v>
      </c>
      <c r="H40" s="92">
        <f t="shared" si="24"/>
        <v>0</v>
      </c>
      <c r="I40" s="92">
        <f t="shared" si="24"/>
        <v>0</v>
      </c>
      <c r="J40" s="92">
        <f t="shared" si="24"/>
        <v>0</v>
      </c>
      <c r="K40" s="92">
        <f t="shared" si="24"/>
        <v>0</v>
      </c>
      <c r="L40" s="92">
        <f t="shared" si="24"/>
        <v>40</v>
      </c>
    </row>
    <row r="41" spans="1:12" ht="25.5" x14ac:dyDescent="0.2">
      <c r="A41" s="108" t="s">
        <v>314</v>
      </c>
      <c r="B41" s="51" t="s">
        <v>380</v>
      </c>
      <c r="C41" s="93">
        <f>D41+F41</f>
        <v>40</v>
      </c>
      <c r="D41" s="94">
        <f>0+0+0+G41+J41</f>
        <v>0</v>
      </c>
      <c r="E41" s="94">
        <f>0+0+0+H41+K41</f>
        <v>0</v>
      </c>
      <c r="F41" s="94">
        <f>0+0+0+I41+L41</f>
        <v>40</v>
      </c>
      <c r="G41" s="95"/>
      <c r="H41" s="95"/>
      <c r="I41" s="95"/>
      <c r="J41" s="95"/>
      <c r="K41" s="95"/>
      <c r="L41" s="95">
        <f>ROUND('[3]2017-06-28'!$X$253/1000,1)</f>
        <v>40</v>
      </c>
    </row>
    <row r="42" spans="1:12" s="42" customFormat="1" collapsed="1" x14ac:dyDescent="0.2">
      <c r="A42" s="107" t="s">
        <v>24</v>
      </c>
      <c r="B42" s="52" t="s">
        <v>451</v>
      </c>
      <c r="C42" s="92">
        <f t="shared" ref="C42:L42" si="25">C43</f>
        <v>4.2</v>
      </c>
      <c r="D42" s="92">
        <f t="shared" si="25"/>
        <v>4.2</v>
      </c>
      <c r="E42" s="92">
        <f t="shared" si="25"/>
        <v>0</v>
      </c>
      <c r="F42" s="92">
        <f t="shared" si="25"/>
        <v>0</v>
      </c>
      <c r="G42" s="92">
        <f t="shared" si="25"/>
        <v>4.2</v>
      </c>
      <c r="H42" s="92">
        <f t="shared" si="25"/>
        <v>0</v>
      </c>
      <c r="I42" s="92">
        <f t="shared" si="25"/>
        <v>0</v>
      </c>
      <c r="J42" s="92">
        <f t="shared" si="25"/>
        <v>0</v>
      </c>
      <c r="K42" s="92">
        <f t="shared" si="25"/>
        <v>0</v>
      </c>
      <c r="L42" s="92">
        <f t="shared" si="25"/>
        <v>0</v>
      </c>
    </row>
    <row r="43" spans="1:12" s="42" customFormat="1" collapsed="1" x14ac:dyDescent="0.2">
      <c r="A43" s="104" t="s">
        <v>318</v>
      </c>
      <c r="B43" s="43" t="s">
        <v>262</v>
      </c>
      <c r="C43" s="92">
        <f t="shared" ref="C43:L43" si="26">SUM(C44)</f>
        <v>4.2</v>
      </c>
      <c r="D43" s="92">
        <f t="shared" si="26"/>
        <v>4.2</v>
      </c>
      <c r="E43" s="92">
        <f t="shared" si="26"/>
        <v>0</v>
      </c>
      <c r="F43" s="92">
        <f t="shared" si="26"/>
        <v>0</v>
      </c>
      <c r="G43" s="92">
        <f t="shared" si="26"/>
        <v>4.2</v>
      </c>
      <c r="H43" s="92">
        <f t="shared" si="26"/>
        <v>0</v>
      </c>
      <c r="I43" s="92">
        <f t="shared" si="26"/>
        <v>0</v>
      </c>
      <c r="J43" s="92">
        <f t="shared" si="26"/>
        <v>0</v>
      </c>
      <c r="K43" s="92">
        <f t="shared" si="26"/>
        <v>0</v>
      </c>
      <c r="L43" s="92">
        <f t="shared" si="26"/>
        <v>0</v>
      </c>
    </row>
    <row r="44" spans="1:12" x14ac:dyDescent="0.2">
      <c r="A44" s="108" t="s">
        <v>319</v>
      </c>
      <c r="B44" s="51" t="s">
        <v>271</v>
      </c>
      <c r="C44" s="93">
        <f>D44+F44</f>
        <v>4.2</v>
      </c>
      <c r="D44" s="94">
        <f>0+0+0+G44+J44</f>
        <v>4.2</v>
      </c>
      <c r="E44" s="94">
        <f>0+0+0+H44+K44</f>
        <v>0</v>
      </c>
      <c r="F44" s="94">
        <f>0+0+0+I44+L44</f>
        <v>0</v>
      </c>
      <c r="G44" s="95">
        <f>ROUND('[10]2016 suvestine'!$Q$20/1000,1)</f>
        <v>4.2</v>
      </c>
      <c r="H44" s="95"/>
      <c r="I44" s="95"/>
      <c r="J44" s="95"/>
      <c r="K44" s="95"/>
      <c r="L44" s="95"/>
    </row>
    <row r="45" spans="1:12" s="42" customFormat="1" ht="25.5" collapsed="1" x14ac:dyDescent="0.2">
      <c r="A45" s="107" t="s">
        <v>26</v>
      </c>
      <c r="B45" s="52" t="s">
        <v>455</v>
      </c>
      <c r="C45" s="92">
        <f t="shared" ref="C45:L45" si="27">C46</f>
        <v>2.1</v>
      </c>
      <c r="D45" s="92">
        <f t="shared" si="27"/>
        <v>2.1</v>
      </c>
      <c r="E45" s="92">
        <f t="shared" si="27"/>
        <v>0</v>
      </c>
      <c r="F45" s="92">
        <f t="shared" si="27"/>
        <v>0</v>
      </c>
      <c r="G45" s="92">
        <f t="shared" si="27"/>
        <v>2.1</v>
      </c>
      <c r="H45" s="92">
        <f t="shared" si="27"/>
        <v>0</v>
      </c>
      <c r="I45" s="92">
        <f t="shared" si="27"/>
        <v>0</v>
      </c>
      <c r="J45" s="92">
        <f t="shared" si="27"/>
        <v>0</v>
      </c>
      <c r="K45" s="92">
        <f t="shared" si="27"/>
        <v>0</v>
      </c>
      <c r="L45" s="92">
        <f t="shared" si="27"/>
        <v>0</v>
      </c>
    </row>
    <row r="46" spans="1:12" s="42" customFormat="1" ht="24.95" customHeight="1" collapsed="1" x14ac:dyDescent="0.2">
      <c r="A46" s="104" t="s">
        <v>27</v>
      </c>
      <c r="B46" s="43" t="s">
        <v>276</v>
      </c>
      <c r="C46" s="92">
        <f t="shared" ref="C46:L46" si="28">SUM(C47)</f>
        <v>2.1</v>
      </c>
      <c r="D46" s="92">
        <f t="shared" si="28"/>
        <v>2.1</v>
      </c>
      <c r="E46" s="92">
        <f t="shared" si="28"/>
        <v>0</v>
      </c>
      <c r="F46" s="92">
        <f t="shared" si="28"/>
        <v>0</v>
      </c>
      <c r="G46" s="92">
        <f t="shared" si="28"/>
        <v>2.1</v>
      </c>
      <c r="H46" s="92">
        <f t="shared" si="28"/>
        <v>0</v>
      </c>
      <c r="I46" s="92">
        <f t="shared" si="28"/>
        <v>0</v>
      </c>
      <c r="J46" s="92">
        <f t="shared" si="28"/>
        <v>0</v>
      </c>
      <c r="K46" s="92">
        <f t="shared" si="28"/>
        <v>0</v>
      </c>
      <c r="L46" s="92">
        <f t="shared" si="28"/>
        <v>0</v>
      </c>
    </row>
    <row r="47" spans="1:12" x14ac:dyDescent="0.2">
      <c r="A47" s="108" t="s">
        <v>322</v>
      </c>
      <c r="B47" s="51" t="s">
        <v>283</v>
      </c>
      <c r="C47" s="93">
        <f>D47+F47</f>
        <v>2.1</v>
      </c>
      <c r="D47" s="94">
        <f>0+0+0+G47+J47</f>
        <v>2.1</v>
      </c>
      <c r="E47" s="94">
        <f>0+0+0+H47+K47</f>
        <v>0</v>
      </c>
      <c r="F47" s="94">
        <f>0+0+0+I47+L47</f>
        <v>0</v>
      </c>
      <c r="G47" s="95">
        <f>ROUND('[10]2016 suvestine'!$Q$22/1000,1)</f>
        <v>2.1</v>
      </c>
      <c r="H47" s="95"/>
      <c r="I47" s="95"/>
      <c r="J47" s="95"/>
      <c r="K47" s="95"/>
      <c r="L47" s="95"/>
    </row>
    <row r="48" spans="1:12" s="42" customFormat="1" x14ac:dyDescent="0.2">
      <c r="A48" s="107" t="s">
        <v>31</v>
      </c>
      <c r="B48" s="52" t="s">
        <v>459</v>
      </c>
      <c r="C48" s="92">
        <f t="shared" ref="C48:L48" si="29">C49</f>
        <v>50.3</v>
      </c>
      <c r="D48" s="92">
        <f t="shared" si="29"/>
        <v>6.9</v>
      </c>
      <c r="E48" s="92">
        <f t="shared" si="29"/>
        <v>2.6</v>
      </c>
      <c r="F48" s="92">
        <f t="shared" si="29"/>
        <v>43.4</v>
      </c>
      <c r="G48" s="92">
        <f t="shared" si="29"/>
        <v>0</v>
      </c>
      <c r="H48" s="92">
        <f t="shared" si="29"/>
        <v>0</v>
      </c>
      <c r="I48" s="92">
        <f t="shared" si="29"/>
        <v>0</v>
      </c>
      <c r="J48" s="92">
        <f t="shared" si="29"/>
        <v>6.9</v>
      </c>
      <c r="K48" s="92">
        <f t="shared" si="29"/>
        <v>2.6</v>
      </c>
      <c r="L48" s="92">
        <f t="shared" si="29"/>
        <v>43.4</v>
      </c>
    </row>
    <row r="49" spans="1:12" s="42" customFormat="1" ht="24.95" customHeight="1" outlineLevel="1" x14ac:dyDescent="0.2">
      <c r="A49" s="104" t="s">
        <v>33</v>
      </c>
      <c r="B49" s="43" t="s">
        <v>200</v>
      </c>
      <c r="C49" s="92">
        <f t="shared" ref="C49:L49" si="30">SUM(C50)</f>
        <v>50.3</v>
      </c>
      <c r="D49" s="92">
        <f t="shared" si="30"/>
        <v>6.9</v>
      </c>
      <c r="E49" s="92">
        <f t="shared" si="30"/>
        <v>2.6</v>
      </c>
      <c r="F49" s="92">
        <f t="shared" si="30"/>
        <v>43.4</v>
      </c>
      <c r="G49" s="92">
        <f t="shared" si="30"/>
        <v>0</v>
      </c>
      <c r="H49" s="92">
        <f t="shared" si="30"/>
        <v>0</v>
      </c>
      <c r="I49" s="92">
        <f t="shared" si="30"/>
        <v>0</v>
      </c>
      <c r="J49" s="92">
        <f t="shared" si="30"/>
        <v>6.9</v>
      </c>
      <c r="K49" s="92">
        <f t="shared" si="30"/>
        <v>2.6</v>
      </c>
      <c r="L49" s="92">
        <f t="shared" si="30"/>
        <v>43.4</v>
      </c>
    </row>
    <row r="50" spans="1:12" outlineLevel="2" x14ac:dyDescent="0.2">
      <c r="A50" s="108" t="s">
        <v>325</v>
      </c>
      <c r="B50" s="51" t="s">
        <v>462</v>
      </c>
      <c r="C50" s="93">
        <f>D50+F50</f>
        <v>50.3</v>
      </c>
      <c r="D50" s="94">
        <f>0+0+0+G50+J50</f>
        <v>6.9</v>
      </c>
      <c r="E50" s="94">
        <f t="shared" ref="E50:F50" si="31">0+0+0+H50+K50</f>
        <v>2.6</v>
      </c>
      <c r="F50" s="94">
        <f t="shared" si="31"/>
        <v>43.4</v>
      </c>
      <c r="G50" s="95"/>
      <c r="H50" s="95"/>
      <c r="I50" s="95"/>
      <c r="J50" s="95">
        <f>ROUND('[3]2017-05-18'!$V$250/1000,1)</f>
        <v>6.9</v>
      </c>
      <c r="K50" s="95">
        <f>ROUND('[3]2017-05-18'!$W$250/1000,1)</f>
        <v>2.6</v>
      </c>
      <c r="L50" s="95">
        <f>ROUND('[3]2017-05-18'!$X$250/1000,1)</f>
        <v>43.4</v>
      </c>
    </row>
    <row r="51" spans="1:12" s="42" customFormat="1" ht="25.5" x14ac:dyDescent="0.2">
      <c r="A51" s="42" t="s">
        <v>105</v>
      </c>
      <c r="B51" s="52" t="s">
        <v>464</v>
      </c>
      <c r="C51" s="92">
        <f t="shared" ref="C51:L51" si="32">C52</f>
        <v>730.6</v>
      </c>
      <c r="D51" s="92">
        <f t="shared" si="32"/>
        <v>0</v>
      </c>
      <c r="E51" s="92">
        <f t="shared" si="32"/>
        <v>0</v>
      </c>
      <c r="F51" s="92">
        <f t="shared" si="32"/>
        <v>730.6</v>
      </c>
      <c r="G51" s="92">
        <f t="shared" si="32"/>
        <v>0</v>
      </c>
      <c r="H51" s="92">
        <f t="shared" si="32"/>
        <v>0</v>
      </c>
      <c r="I51" s="92">
        <f t="shared" si="32"/>
        <v>0</v>
      </c>
      <c r="J51" s="92">
        <f t="shared" si="32"/>
        <v>0</v>
      </c>
      <c r="K51" s="92">
        <f t="shared" si="32"/>
        <v>0</v>
      </c>
      <c r="L51" s="92">
        <f t="shared" si="32"/>
        <v>730.6</v>
      </c>
    </row>
    <row r="52" spans="1:12" s="42" customFormat="1" collapsed="1" x14ac:dyDescent="0.2">
      <c r="A52" s="42" t="s">
        <v>106</v>
      </c>
      <c r="B52" s="99" t="s">
        <v>127</v>
      </c>
      <c r="C52" s="92">
        <f t="shared" ref="C52:L52" si="33">SUM(C53)</f>
        <v>730.6</v>
      </c>
      <c r="D52" s="92">
        <f t="shared" si="33"/>
        <v>0</v>
      </c>
      <c r="E52" s="92">
        <f t="shared" si="33"/>
        <v>0</v>
      </c>
      <c r="F52" s="92">
        <f t="shared" si="33"/>
        <v>730.6</v>
      </c>
      <c r="G52" s="92">
        <f t="shared" si="33"/>
        <v>0</v>
      </c>
      <c r="H52" s="92">
        <f t="shared" si="33"/>
        <v>0</v>
      </c>
      <c r="I52" s="92">
        <f t="shared" si="33"/>
        <v>0</v>
      </c>
      <c r="J52" s="92">
        <f t="shared" si="33"/>
        <v>0</v>
      </c>
      <c r="K52" s="92">
        <f t="shared" si="33"/>
        <v>0</v>
      </c>
      <c r="L52" s="92">
        <f t="shared" si="33"/>
        <v>730.6</v>
      </c>
    </row>
    <row r="53" spans="1:12" ht="25.5" x14ac:dyDescent="0.2">
      <c r="A53" s="30" t="s">
        <v>329</v>
      </c>
      <c r="B53" s="51" t="s">
        <v>503</v>
      </c>
      <c r="C53" s="93">
        <f>D53+F53</f>
        <v>730.6</v>
      </c>
      <c r="D53" s="94">
        <f>0+0+0+G53+J53</f>
        <v>0</v>
      </c>
      <c r="E53" s="94">
        <f>0+0+0+H53+K53</f>
        <v>0</v>
      </c>
      <c r="F53" s="94">
        <f>0+0+0+I53+L53</f>
        <v>730.6</v>
      </c>
      <c r="G53" s="95"/>
      <c r="H53" s="95"/>
      <c r="I53" s="95"/>
      <c r="J53" s="95"/>
      <c r="K53" s="95"/>
      <c r="L53" s="95">
        <v>730.6</v>
      </c>
    </row>
    <row r="54" spans="1:12" s="42" customFormat="1" ht="15.75" customHeight="1" x14ac:dyDescent="0.2">
      <c r="A54" s="107"/>
      <c r="B54" s="53" t="s">
        <v>467</v>
      </c>
      <c r="C54" s="92">
        <f>0+C16+0+0+0+0+0+0+0+0+0+0+0+0+0+0+0+C30+C33+0+0+0+0+0+0+0+C36+0+0+C42++C45+0+C51+C48+C39</f>
        <v>1609.9</v>
      </c>
      <c r="D54" s="92">
        <f t="shared" ref="D54:L54" si="34">0+D16+0+0+0+0+0+0+0+0+0+0+0+0+0+0+0+D30+D33+0+0+0+0+0+0+0+D36+0+0+D42++D45+0+D51+D48+D39</f>
        <v>331.40000000000003</v>
      </c>
      <c r="E54" s="92">
        <f t="shared" si="34"/>
        <v>2.6</v>
      </c>
      <c r="F54" s="92">
        <f t="shared" si="34"/>
        <v>1278.5</v>
      </c>
      <c r="G54" s="92">
        <f t="shared" si="34"/>
        <v>80.999999999999986</v>
      </c>
      <c r="H54" s="92">
        <f t="shared" si="34"/>
        <v>0</v>
      </c>
      <c r="I54" s="92">
        <f t="shared" si="34"/>
        <v>0</v>
      </c>
      <c r="J54" s="92">
        <f t="shared" si="34"/>
        <v>250.4</v>
      </c>
      <c r="K54" s="92">
        <f t="shared" si="34"/>
        <v>2.6</v>
      </c>
      <c r="L54" s="92">
        <f t="shared" si="34"/>
        <v>1278.5</v>
      </c>
    </row>
    <row r="55" spans="1:12" s="42" customFormat="1" x14ac:dyDescent="0.2">
      <c r="A55" s="107"/>
      <c r="B55" s="101" t="s">
        <v>483</v>
      </c>
      <c r="C55" s="92">
        <f t="shared" ref="C55:L55" si="35">SUM(C56:C61)</f>
        <v>1609.9</v>
      </c>
      <c r="D55" s="92">
        <f t="shared" si="35"/>
        <v>331.40000000000003</v>
      </c>
      <c r="E55" s="92">
        <f t="shared" si="35"/>
        <v>2.6</v>
      </c>
      <c r="F55" s="92">
        <f t="shared" si="35"/>
        <v>1238.5</v>
      </c>
      <c r="G55" s="92">
        <f t="shared" si="35"/>
        <v>80.999999999999986</v>
      </c>
      <c r="H55" s="92">
        <f t="shared" si="35"/>
        <v>0</v>
      </c>
      <c r="I55" s="92">
        <f t="shared" si="35"/>
        <v>0</v>
      </c>
      <c r="J55" s="92">
        <f t="shared" si="35"/>
        <v>250.40000000000003</v>
      </c>
      <c r="K55" s="92">
        <f t="shared" si="35"/>
        <v>2.6</v>
      </c>
      <c r="L55" s="92">
        <f t="shared" si="35"/>
        <v>1238.5</v>
      </c>
    </row>
    <row r="56" spans="1:12" s="42" customFormat="1" x14ac:dyDescent="0.2">
      <c r="A56" s="107"/>
      <c r="B56" s="99" t="s">
        <v>127</v>
      </c>
      <c r="C56" s="92">
        <f>0+C17+C52</f>
        <v>768.7</v>
      </c>
      <c r="D56" s="92">
        <f>0+D17+E52</f>
        <v>38.1</v>
      </c>
      <c r="E56" s="92">
        <f>0+E17</f>
        <v>0</v>
      </c>
      <c r="F56" s="92">
        <f>F17+F52</f>
        <v>730.6</v>
      </c>
      <c r="G56" s="92">
        <f>0+G17</f>
        <v>38.1</v>
      </c>
      <c r="H56" s="92">
        <f>0+H17+I52</f>
        <v>0</v>
      </c>
      <c r="I56" s="92">
        <f>0+I17+J52</f>
        <v>0</v>
      </c>
      <c r="J56" s="92">
        <f>0+J17</f>
        <v>0</v>
      </c>
      <c r="K56" s="92">
        <f>0+K17</f>
        <v>0</v>
      </c>
      <c r="L56" s="92">
        <f>0+L17+L52</f>
        <v>730.6</v>
      </c>
    </row>
    <row r="57" spans="1:12" s="42" customFormat="1" ht="25.5" x14ac:dyDescent="0.2">
      <c r="A57" s="107"/>
      <c r="B57" s="99" t="s">
        <v>200</v>
      </c>
      <c r="C57" s="92">
        <f t="shared" ref="C57:I57" si="36">C19+0+0+0+0+0+0+0+0+0+0+0+0+0+C49</f>
        <v>183.89999999999998</v>
      </c>
      <c r="D57" s="92">
        <f t="shared" si="36"/>
        <v>122.4</v>
      </c>
      <c r="E57" s="92">
        <f t="shared" si="36"/>
        <v>2.6</v>
      </c>
      <c r="F57" s="92">
        <f t="shared" si="36"/>
        <v>61.5</v>
      </c>
      <c r="G57" s="92">
        <f t="shared" si="36"/>
        <v>0.3</v>
      </c>
      <c r="H57" s="92">
        <f t="shared" si="36"/>
        <v>0</v>
      </c>
      <c r="I57" s="92">
        <f t="shared" si="36"/>
        <v>0</v>
      </c>
      <c r="J57" s="92">
        <f>J19+0+0+0+0+0+0+0+0+0+0+0+0+0+J49</f>
        <v>122.10000000000001</v>
      </c>
      <c r="K57" s="92">
        <f t="shared" ref="K57:L57" si="37">K19+0+0+0+0+0+0+0+0+0+0+0+0+0+K49</f>
        <v>2.6</v>
      </c>
      <c r="L57" s="92">
        <f t="shared" si="37"/>
        <v>61.5</v>
      </c>
    </row>
    <row r="58" spans="1:12" s="42" customFormat="1" x14ac:dyDescent="0.2">
      <c r="A58" s="107"/>
      <c r="B58" s="99" t="s">
        <v>215</v>
      </c>
      <c r="C58" s="92">
        <f t="shared" ref="C58:L58" si="38">C22</f>
        <v>43.7</v>
      </c>
      <c r="D58" s="92">
        <f t="shared" si="38"/>
        <v>43.7</v>
      </c>
      <c r="E58" s="92">
        <f t="shared" si="38"/>
        <v>0</v>
      </c>
      <c r="F58" s="92">
        <f t="shared" si="38"/>
        <v>0</v>
      </c>
      <c r="G58" s="92">
        <f t="shared" si="38"/>
        <v>35.200000000000003</v>
      </c>
      <c r="H58" s="92">
        <f t="shared" si="38"/>
        <v>0</v>
      </c>
      <c r="I58" s="92">
        <f t="shared" si="38"/>
        <v>0</v>
      </c>
      <c r="J58" s="92">
        <f t="shared" si="38"/>
        <v>8.5</v>
      </c>
      <c r="K58" s="92">
        <f t="shared" si="38"/>
        <v>0</v>
      </c>
      <c r="L58" s="92">
        <f t="shared" si="38"/>
        <v>0</v>
      </c>
    </row>
    <row r="59" spans="1:12" s="42" customFormat="1" x14ac:dyDescent="0.2">
      <c r="A59" s="107"/>
      <c r="B59" s="99" t="s">
        <v>221</v>
      </c>
      <c r="C59" s="92">
        <f t="shared" ref="C59:L59" si="39">C25</f>
        <v>526.5</v>
      </c>
      <c r="D59" s="92">
        <f t="shared" si="39"/>
        <v>118.3</v>
      </c>
      <c r="E59" s="92">
        <f t="shared" si="39"/>
        <v>0</v>
      </c>
      <c r="F59" s="92">
        <f t="shared" si="39"/>
        <v>408.2</v>
      </c>
      <c r="G59" s="92">
        <f t="shared" si="39"/>
        <v>0</v>
      </c>
      <c r="H59" s="92">
        <f t="shared" si="39"/>
        <v>0</v>
      </c>
      <c r="I59" s="92">
        <f t="shared" si="39"/>
        <v>0</v>
      </c>
      <c r="J59" s="92">
        <f t="shared" si="39"/>
        <v>118.3</v>
      </c>
      <c r="K59" s="92">
        <f t="shared" si="39"/>
        <v>0</v>
      </c>
      <c r="L59" s="92">
        <f t="shared" si="39"/>
        <v>408.2</v>
      </c>
    </row>
    <row r="60" spans="1:12" s="42" customFormat="1" x14ac:dyDescent="0.2">
      <c r="A60" s="107"/>
      <c r="B60" s="99" t="s">
        <v>262</v>
      </c>
      <c r="C60" s="92">
        <f>0+C31+C34+0+0+0+0+0+0+0+C37+0+0+C43+C40</f>
        <v>46.8</v>
      </c>
      <c r="D60" s="92">
        <f t="shared" ref="D60:L60" si="40">0+D31+D34+0+0+0+0+0+0+0+D37+0+0+D43</f>
        <v>6.8</v>
      </c>
      <c r="E60" s="92">
        <f t="shared" si="40"/>
        <v>0</v>
      </c>
      <c r="F60" s="92">
        <f t="shared" si="40"/>
        <v>0</v>
      </c>
      <c r="G60" s="92">
        <f t="shared" si="40"/>
        <v>5.3000000000000007</v>
      </c>
      <c r="H60" s="92">
        <f t="shared" si="40"/>
        <v>0</v>
      </c>
      <c r="I60" s="92">
        <f t="shared" si="40"/>
        <v>0</v>
      </c>
      <c r="J60" s="92">
        <f t="shared" si="40"/>
        <v>1.5</v>
      </c>
      <c r="K60" s="92">
        <f t="shared" si="40"/>
        <v>0</v>
      </c>
      <c r="L60" s="92">
        <f t="shared" si="40"/>
        <v>0</v>
      </c>
    </row>
    <row r="61" spans="1:12" s="42" customFormat="1" ht="25.5" x14ac:dyDescent="0.2">
      <c r="A61" s="107"/>
      <c r="B61" s="99" t="s">
        <v>276</v>
      </c>
      <c r="C61" s="92">
        <f t="shared" ref="C61:L61" si="41">C28+0+0+0+0+0+0+0+0+0+0+0+0+C46</f>
        <v>40.300000000000004</v>
      </c>
      <c r="D61" s="92">
        <f t="shared" si="41"/>
        <v>2.1</v>
      </c>
      <c r="E61" s="92">
        <f t="shared" si="41"/>
        <v>0</v>
      </c>
      <c r="F61" s="92">
        <f t="shared" si="41"/>
        <v>38.200000000000003</v>
      </c>
      <c r="G61" s="92">
        <f t="shared" si="41"/>
        <v>2.1</v>
      </c>
      <c r="H61" s="92">
        <f t="shared" si="41"/>
        <v>0</v>
      </c>
      <c r="I61" s="92">
        <f t="shared" si="41"/>
        <v>0</v>
      </c>
      <c r="J61" s="92">
        <f t="shared" si="41"/>
        <v>0</v>
      </c>
      <c r="K61" s="92">
        <f t="shared" si="41"/>
        <v>0</v>
      </c>
      <c r="L61" s="92">
        <f t="shared" si="41"/>
        <v>38.200000000000003</v>
      </c>
    </row>
    <row r="62" spans="1:12" ht="18.75" customHeight="1" x14ac:dyDescent="0.2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5" customHeight="1" x14ac:dyDescent="0.2">
      <c r="A63" s="191" t="s">
        <v>469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</row>
    <row r="64" spans="1:12" ht="15" customHeight="1" x14ac:dyDescent="0.2">
      <c r="A64" s="114"/>
      <c r="B64" s="35"/>
      <c r="C64" s="57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1:6" ht="15" x14ac:dyDescent="0.25">
      <c r="A65" s="32"/>
      <c r="C65" s="58"/>
      <c r="D65" s="58"/>
      <c r="E65" s="58"/>
      <c r="F65" s="58"/>
    </row>
    <row r="66" spans="1:6" x14ac:dyDescent="0.2">
      <c r="A66" s="59"/>
      <c r="C66" s="58"/>
      <c r="D66" s="58"/>
      <c r="E66" s="58"/>
      <c r="F66" s="58"/>
    </row>
  </sheetData>
  <mergeCells count="15">
    <mergeCell ref="A8:L8"/>
    <mergeCell ref="A11:A14"/>
    <mergeCell ref="B11:B14"/>
    <mergeCell ref="C11:C14"/>
    <mergeCell ref="D11:F12"/>
    <mergeCell ref="G11:L11"/>
    <mergeCell ref="G12:I12"/>
    <mergeCell ref="I13:I14"/>
    <mergeCell ref="J13:K13"/>
    <mergeCell ref="L13:L14"/>
    <mergeCell ref="A63:L63"/>
    <mergeCell ref="J12:L12"/>
    <mergeCell ref="D13:E13"/>
    <mergeCell ref="F13:F14"/>
    <mergeCell ref="G13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PAJAMOS</vt:lpstr>
      <vt:lpstr>Asignavimai</vt:lpstr>
      <vt:lpstr>AARP</vt:lpstr>
      <vt:lpstr>BIP</vt:lpstr>
      <vt:lpstr> 2016 m. nepanaudotos pajamos</vt:lpstr>
      <vt:lpstr>Asignavimai!Print_Titles</vt:lpstr>
      <vt:lpstr>PAJAMOS!Print_Titles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Dumbliauskiene</dc:creator>
  <cp:lastModifiedBy>Laima Jauniskiene</cp:lastModifiedBy>
  <cp:lastPrinted>2017-05-03T07:25:05Z</cp:lastPrinted>
  <dcterms:created xsi:type="dcterms:W3CDTF">2017-01-05T18:35:04Z</dcterms:created>
  <dcterms:modified xsi:type="dcterms:W3CDTF">2017-06-23T11:35:39Z</dcterms:modified>
</cp:coreProperties>
</file>