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ai\nuo darbastalio\SPRENDIMU_PR\2016 m\2016-12-16\Biudzetas\"/>
    </mc:Choice>
  </mc:AlternateContent>
  <bookViews>
    <workbookView xWindow="0" yWindow="0" windowWidth="28800" windowHeight="12135" activeTab="7"/>
  </bookViews>
  <sheets>
    <sheet name="pajamos " sheetId="1" r:id="rId1"/>
    <sheet name="Asign.2" sheetId="16" r:id="rId2"/>
    <sheet name="sav.f. 3 " sheetId="10" r:id="rId3"/>
    <sheet name="Valst.f. 4" sheetId="11" r:id="rId4"/>
    <sheet name="MK 5" sheetId="12" r:id="rId5"/>
    <sheet name="AARP.6" sheetId="9" r:id="rId6"/>
    <sheet name="Spec.7" sheetId="8" r:id="rId7"/>
    <sheet name="Progr.8" sheetId="5" r:id="rId8"/>
  </sheets>
  <definedNames>
    <definedName name="_xlnm._FilterDatabase" localSheetId="2" hidden="1">'sav.f. 3 '!$A$11:$I$123</definedName>
  </definedNames>
  <calcPr calcId="162913"/>
</workbook>
</file>

<file path=xl/calcChain.xml><?xml version="1.0" encoding="utf-8"?>
<calcChain xmlns="http://schemas.openxmlformats.org/spreadsheetml/2006/main">
  <c r="H22" i="1" l="1"/>
  <c r="G91" i="10" l="1"/>
  <c r="H91" i="10"/>
  <c r="G94" i="10"/>
  <c r="H94" i="10"/>
  <c r="H93" i="10"/>
  <c r="G93" i="10"/>
  <c r="F65" i="5" l="1"/>
  <c r="I130" i="5"/>
  <c r="I70" i="10"/>
  <c r="G103" i="10"/>
  <c r="G35" i="10"/>
  <c r="G114" i="10"/>
  <c r="H15" i="10"/>
  <c r="G15" i="10"/>
  <c r="G77" i="10"/>
  <c r="I77" i="10"/>
  <c r="H18" i="10"/>
  <c r="I18" i="10"/>
  <c r="G18" i="10"/>
  <c r="G63" i="10"/>
  <c r="H107" i="10" l="1"/>
  <c r="H82" i="10"/>
  <c r="G82" i="10"/>
  <c r="H100" i="10"/>
  <c r="G100" i="10"/>
  <c r="H96" i="10"/>
  <c r="G96" i="10"/>
  <c r="H97" i="10"/>
  <c r="G97" i="10"/>
  <c r="H99" i="10"/>
  <c r="G99" i="10"/>
  <c r="H87" i="10"/>
  <c r="G87" i="10"/>
  <c r="H86" i="10"/>
  <c r="G86" i="10"/>
  <c r="G67" i="10"/>
  <c r="G51" i="10"/>
  <c r="G58" i="10"/>
  <c r="G42" i="10"/>
  <c r="G47" i="10"/>
  <c r="G62" i="10"/>
  <c r="G46" i="10"/>
  <c r="G59" i="10"/>
  <c r="G43" i="10"/>
  <c r="H30" i="11"/>
  <c r="H36" i="11"/>
  <c r="G36" i="11"/>
  <c r="G35" i="11"/>
  <c r="H22" i="12"/>
  <c r="H26" i="12"/>
  <c r="G14" i="12"/>
  <c r="H14" i="12"/>
  <c r="H19" i="12"/>
  <c r="G18" i="12"/>
  <c r="G17" i="12"/>
  <c r="I18" i="12"/>
  <c r="H25" i="12"/>
  <c r="H24" i="12"/>
  <c r="H23" i="12"/>
  <c r="H21" i="12"/>
  <c r="H20" i="12"/>
  <c r="H18" i="12"/>
  <c r="H17" i="12"/>
  <c r="H15" i="12"/>
  <c r="G83" i="10" l="1"/>
  <c r="G17" i="10"/>
  <c r="H17" i="10"/>
  <c r="J148" i="5" l="1"/>
  <c r="E122" i="5"/>
  <c r="F18" i="16"/>
  <c r="F17" i="16"/>
  <c r="G26" i="12" l="1"/>
  <c r="G28" i="12"/>
  <c r="G21" i="12"/>
  <c r="G25" i="12"/>
  <c r="G24" i="12"/>
  <c r="G23" i="12"/>
  <c r="G22" i="12"/>
  <c r="G20" i="12"/>
  <c r="G19" i="12"/>
  <c r="G16" i="12"/>
  <c r="G15" i="12"/>
  <c r="G24" i="10"/>
  <c r="G109" i="10" l="1"/>
  <c r="F86" i="10" l="1"/>
  <c r="H13" i="8"/>
  <c r="G117" i="10"/>
  <c r="G116" i="10"/>
  <c r="F41" i="5"/>
  <c r="F38" i="10"/>
  <c r="H31" i="11"/>
  <c r="H53" i="11"/>
  <c r="H119" i="10"/>
  <c r="G119" i="10"/>
  <c r="H26" i="11"/>
  <c r="H27" i="11"/>
  <c r="H25" i="11"/>
  <c r="H19" i="10"/>
  <c r="G19" i="10"/>
  <c r="I40" i="10"/>
  <c r="H40" i="10"/>
  <c r="G40" i="10"/>
  <c r="G41" i="10"/>
  <c r="H19" i="11"/>
  <c r="H20" i="11"/>
  <c r="H18" i="11"/>
  <c r="H29" i="11"/>
  <c r="H106" i="10"/>
  <c r="G106" i="10"/>
  <c r="F125" i="10"/>
  <c r="I125" i="10"/>
  <c r="H28" i="11"/>
  <c r="G98" i="10"/>
  <c r="I98" i="10"/>
  <c r="I97" i="10"/>
  <c r="I92" i="10"/>
  <c r="G92" i="10"/>
  <c r="I91" i="10"/>
  <c r="I39" i="10"/>
  <c r="F81" i="5"/>
  <c r="E81" i="5" s="1"/>
  <c r="F72" i="10"/>
  <c r="G84" i="10" l="1"/>
  <c r="I89" i="5"/>
  <c r="I60" i="11"/>
  <c r="G71" i="10"/>
  <c r="I62" i="11"/>
  <c r="G62" i="11"/>
  <c r="F16" i="8"/>
  <c r="E17" i="8"/>
  <c r="H34" i="1"/>
  <c r="I53" i="10" l="1"/>
  <c r="G53" i="10"/>
  <c r="G69" i="10"/>
  <c r="G66" i="10"/>
  <c r="G50" i="10"/>
  <c r="G65" i="10"/>
  <c r="G49" i="10"/>
  <c r="J33" i="9" l="1"/>
  <c r="J35" i="9"/>
  <c r="F15" i="8"/>
  <c r="H26" i="1"/>
  <c r="H24" i="1"/>
  <c r="G37" i="10" l="1"/>
  <c r="H23" i="1" l="1"/>
  <c r="H67" i="5" l="1"/>
  <c r="I67" i="5"/>
  <c r="G89" i="5"/>
  <c r="G88" i="5"/>
  <c r="G87" i="5"/>
  <c r="F87" i="5"/>
  <c r="F66" i="5"/>
  <c r="G66" i="5"/>
  <c r="H76" i="10"/>
  <c r="G55" i="10"/>
  <c r="G110" i="10"/>
  <c r="G112" i="10"/>
  <c r="G101" i="10"/>
  <c r="H33" i="8" l="1"/>
  <c r="E66" i="5"/>
  <c r="F48" i="16"/>
  <c r="G123" i="10"/>
  <c r="H123" i="10"/>
  <c r="I123" i="10"/>
  <c r="F122" i="10"/>
  <c r="H22" i="11"/>
  <c r="G22" i="11"/>
  <c r="G52" i="11" l="1"/>
  <c r="G53" i="11"/>
  <c r="G30" i="11"/>
  <c r="G29" i="11"/>
  <c r="H56" i="11"/>
  <c r="G56" i="11"/>
  <c r="H55" i="11"/>
  <c r="G55" i="11"/>
  <c r="F20" i="8"/>
  <c r="F14" i="8" l="1"/>
  <c r="G28" i="11"/>
  <c r="G64" i="10" l="1"/>
  <c r="G48" i="10"/>
  <c r="G64" i="11"/>
  <c r="H64" i="11"/>
  <c r="G102" i="10"/>
  <c r="G50" i="11"/>
  <c r="G18" i="11"/>
  <c r="G79" i="10" l="1"/>
  <c r="H73" i="5" l="1"/>
  <c r="I73" i="5"/>
  <c r="J73" i="5"/>
  <c r="G73" i="5"/>
  <c r="I46" i="10" l="1"/>
  <c r="F15" i="16" l="1"/>
  <c r="G56" i="10"/>
  <c r="I81" i="10" l="1"/>
  <c r="G81" i="10"/>
  <c r="G105" i="10" l="1"/>
  <c r="H16" i="12"/>
  <c r="G48" i="11"/>
  <c r="G39" i="11"/>
  <c r="H98" i="10"/>
  <c r="H88" i="10"/>
  <c r="G88" i="10"/>
  <c r="G89" i="10" l="1"/>
  <c r="G76" i="10"/>
  <c r="G107" i="10"/>
  <c r="H81" i="10"/>
  <c r="H95" i="10"/>
  <c r="G95" i="10"/>
  <c r="H92" i="10"/>
  <c r="H89" i="10"/>
  <c r="H21" i="10"/>
  <c r="G21" i="10"/>
  <c r="H20" i="10"/>
  <c r="G20" i="10"/>
  <c r="H27" i="12" l="1"/>
  <c r="G27" i="12"/>
  <c r="G39" i="10" l="1"/>
  <c r="F56" i="10" l="1"/>
  <c r="F64" i="5" s="1"/>
  <c r="E64" i="5" s="1"/>
  <c r="F28" i="16" l="1"/>
  <c r="F63" i="11"/>
  <c r="G114" i="5" s="1"/>
  <c r="E33" i="16"/>
  <c r="E34" i="16"/>
  <c r="D33" i="16"/>
  <c r="E32" i="16"/>
  <c r="F57" i="11"/>
  <c r="F58" i="11"/>
  <c r="F59" i="11"/>
  <c r="F33" i="8" l="1"/>
  <c r="H27" i="1"/>
  <c r="E15" i="16"/>
  <c r="G65" i="11"/>
  <c r="H66" i="11" l="1"/>
  <c r="I66" i="11"/>
  <c r="F65" i="11"/>
  <c r="G123" i="5" s="1"/>
  <c r="G66" i="11"/>
  <c r="G29" i="12"/>
  <c r="I93" i="10" l="1"/>
  <c r="G68" i="10"/>
  <c r="G52" i="10"/>
  <c r="G26" i="8"/>
  <c r="I25" i="9" l="1"/>
  <c r="I23" i="9" s="1"/>
  <c r="I19" i="9"/>
  <c r="J44" i="9"/>
  <c r="J43" i="9"/>
  <c r="F35" i="16" l="1"/>
  <c r="F34" i="16"/>
  <c r="F32" i="16"/>
  <c r="F29" i="16"/>
  <c r="F19" i="16"/>
  <c r="E35" i="16" l="1"/>
  <c r="E30" i="16"/>
  <c r="E29" i="16"/>
  <c r="E28" i="16"/>
  <c r="E27" i="16"/>
  <c r="E18" i="16"/>
  <c r="E26" i="16"/>
  <c r="E24" i="16"/>
  <c r="E23" i="16"/>
  <c r="E19" i="16"/>
  <c r="E17" i="16"/>
  <c r="J32" i="9" l="1"/>
  <c r="J30" i="9"/>
  <c r="J39" i="9" l="1"/>
  <c r="D15" i="16" s="1"/>
  <c r="H39" i="1" l="1"/>
  <c r="F31" i="10" l="1"/>
  <c r="I119" i="5" l="1"/>
  <c r="E21" i="16" l="1"/>
  <c r="D21" i="16"/>
  <c r="E48" i="16"/>
  <c r="D48" i="16"/>
  <c r="I14" i="9"/>
  <c r="F36" i="10"/>
  <c r="F63" i="5" s="1"/>
  <c r="C48" i="16" l="1"/>
  <c r="F120" i="10"/>
  <c r="F76" i="5" s="1"/>
  <c r="E76" i="5" s="1"/>
  <c r="F79" i="10"/>
  <c r="F93" i="5" s="1"/>
  <c r="E93" i="5" s="1"/>
  <c r="F21" i="10"/>
  <c r="F84" i="10"/>
  <c r="F100" i="5" s="1"/>
  <c r="F85" i="10"/>
  <c r="F78" i="10"/>
  <c r="F80" i="10"/>
  <c r="F77" i="10"/>
  <c r="F89" i="5" s="1"/>
  <c r="F71" i="10"/>
  <c r="F73" i="10"/>
  <c r="F74" i="10"/>
  <c r="F75" i="10"/>
  <c r="F19" i="10"/>
  <c r="F20" i="10"/>
  <c r="F22" i="10"/>
  <c r="F23" i="10"/>
  <c r="F24" i="10"/>
  <c r="F25" i="10"/>
  <c r="F26" i="10"/>
  <c r="F27" i="10"/>
  <c r="F28" i="10"/>
  <c r="F29" i="10"/>
  <c r="F28" i="5" s="1"/>
  <c r="F30" i="10"/>
  <c r="F32" i="10"/>
  <c r="F32" i="5" s="1"/>
  <c r="F33" i="10"/>
  <c r="F34" i="10"/>
  <c r="F35" i="10"/>
  <c r="I35" i="5" s="1"/>
  <c r="F37" i="10"/>
  <c r="F38" i="5" s="1"/>
  <c r="F39" i="10"/>
  <c r="F40" i="10"/>
  <c r="F41" i="10"/>
  <c r="F29" i="12" l="1"/>
  <c r="H123" i="5" s="1"/>
  <c r="E123" i="5" s="1"/>
  <c r="G30" i="12"/>
  <c r="F24" i="12" l="1"/>
  <c r="I101" i="5" l="1"/>
  <c r="F33" i="5" l="1"/>
  <c r="E33" i="5" s="1"/>
  <c r="F31" i="16" l="1"/>
  <c r="F34" i="11" l="1"/>
  <c r="F107" i="10" l="1"/>
  <c r="F126" i="5" s="1"/>
  <c r="I147" i="5" l="1"/>
  <c r="F105" i="10"/>
  <c r="F122" i="5" s="1"/>
  <c r="F62" i="11" l="1"/>
  <c r="G63" i="5" l="1"/>
  <c r="E63" i="5" l="1"/>
  <c r="G67" i="5"/>
  <c r="F53" i="10"/>
  <c r="F115" i="10" l="1"/>
  <c r="I16" i="9" l="1"/>
  <c r="F101" i="10" l="1"/>
  <c r="F94" i="5" s="1"/>
  <c r="F17" i="11" l="1"/>
  <c r="D22" i="16" l="1"/>
  <c r="D33" i="8" l="1"/>
  <c r="G14" i="8"/>
  <c r="G15" i="8"/>
  <c r="G16" i="8"/>
  <c r="D18" i="16" s="1"/>
  <c r="G17" i="8"/>
  <c r="D29" i="16" s="1"/>
  <c r="G19" i="8"/>
  <c r="G20" i="8"/>
  <c r="G21" i="8"/>
  <c r="G22" i="8"/>
  <c r="G23" i="8"/>
  <c r="G24" i="8"/>
  <c r="G25" i="8"/>
  <c r="D31" i="16" s="1"/>
  <c r="G27" i="8"/>
  <c r="J108" i="5" s="1"/>
  <c r="G28" i="8"/>
  <c r="G29" i="8"/>
  <c r="D34" i="16" s="1"/>
  <c r="G32" i="8"/>
  <c r="D32" i="16" s="1"/>
  <c r="J117" i="5" l="1"/>
  <c r="J103" i="5"/>
  <c r="D17" i="16"/>
  <c r="J126" i="5"/>
  <c r="D35" i="16"/>
  <c r="D28" i="16"/>
  <c r="J114" i="5"/>
  <c r="J105" i="5"/>
  <c r="D19" i="16"/>
  <c r="F56" i="11"/>
  <c r="F51" i="11"/>
  <c r="J84" i="5" l="1"/>
  <c r="F110" i="10" l="1"/>
  <c r="F111" i="10"/>
  <c r="F112" i="10"/>
  <c r="E31" i="16" l="1"/>
  <c r="G12" i="8"/>
  <c r="J65" i="5" s="1"/>
  <c r="J67" i="5" s="1"/>
  <c r="F119" i="10" l="1"/>
  <c r="H118" i="5"/>
  <c r="I32" i="9" l="1"/>
  <c r="I36" i="9"/>
  <c r="I30" i="9"/>
  <c r="H28" i="1"/>
  <c r="H21" i="1"/>
  <c r="H20" i="1"/>
  <c r="H9" i="1"/>
  <c r="H30" i="12"/>
  <c r="I30" i="12"/>
  <c r="F28" i="12"/>
  <c r="F55" i="11"/>
  <c r="G84" i="5" s="1"/>
  <c r="F64" i="11"/>
  <c r="G116" i="5" s="1"/>
  <c r="F61" i="11"/>
  <c r="G80" i="5" s="1"/>
  <c r="F52" i="10"/>
  <c r="F23" i="16"/>
  <c r="F25" i="16"/>
  <c r="C17" i="16"/>
  <c r="F30" i="16"/>
  <c r="F24" i="16"/>
  <c r="F26" i="16"/>
  <c r="F18" i="10"/>
  <c r="F98" i="10"/>
  <c r="F115" i="5" s="1"/>
  <c r="F92" i="5"/>
  <c r="E92" i="5" s="1"/>
  <c r="F49" i="10"/>
  <c r="I21" i="5"/>
  <c r="I20" i="9"/>
  <c r="F121" i="10"/>
  <c r="F77" i="5" s="1"/>
  <c r="I124" i="5"/>
  <c r="I95" i="5"/>
  <c r="I85" i="5"/>
  <c r="I78" i="5"/>
  <c r="I70" i="5"/>
  <c r="I45" i="5"/>
  <c r="I42" i="5"/>
  <c r="I39" i="5"/>
  <c r="I36" i="5"/>
  <c r="I148" i="5" s="1"/>
  <c r="I26" i="5"/>
  <c r="I30" i="5" s="1"/>
  <c r="F20" i="16"/>
  <c r="F15" i="12"/>
  <c r="H104" i="5" s="1"/>
  <c r="F16" i="12"/>
  <c r="H105" i="5" s="1"/>
  <c r="F17" i="12"/>
  <c r="H106" i="5" s="1"/>
  <c r="F18" i="12"/>
  <c r="H108" i="5" s="1"/>
  <c r="F19" i="12"/>
  <c r="H109" i="5" s="1"/>
  <c r="F20" i="12"/>
  <c r="H110" i="5" s="1"/>
  <c r="F21" i="12"/>
  <c r="H111" i="5" s="1"/>
  <c r="F22" i="12"/>
  <c r="H112" i="5" s="1"/>
  <c r="F23" i="12"/>
  <c r="H113" i="5" s="1"/>
  <c r="H114" i="5"/>
  <c r="F25" i="12"/>
  <c r="H115" i="5" s="1"/>
  <c r="F26" i="12"/>
  <c r="H116" i="5" s="1"/>
  <c r="F27" i="12"/>
  <c r="H117" i="5" s="1"/>
  <c r="H95" i="5"/>
  <c r="F14" i="12"/>
  <c r="H103" i="5" s="1"/>
  <c r="F46" i="10"/>
  <c r="F121" i="5"/>
  <c r="E121" i="5" s="1"/>
  <c r="G90" i="5"/>
  <c r="E90" i="5" s="1"/>
  <c r="F60" i="11"/>
  <c r="F54" i="11"/>
  <c r="F20" i="11"/>
  <c r="F16" i="10"/>
  <c r="F36" i="11"/>
  <c r="G17" i="5" s="1"/>
  <c r="F81" i="10"/>
  <c r="F97" i="10"/>
  <c r="F114" i="5" s="1"/>
  <c r="F95" i="10"/>
  <c r="F112" i="5" s="1"/>
  <c r="F72" i="5"/>
  <c r="D25" i="16"/>
  <c r="F33" i="16"/>
  <c r="F34" i="5"/>
  <c r="E34" i="5" s="1"/>
  <c r="G70" i="5"/>
  <c r="H70" i="5"/>
  <c r="J70" i="5"/>
  <c r="F23" i="5"/>
  <c r="G26" i="5"/>
  <c r="G30" i="5" s="1"/>
  <c r="H26" i="5"/>
  <c r="H30" i="5" s="1"/>
  <c r="J26" i="5"/>
  <c r="J30" i="5" s="1"/>
  <c r="F47" i="5"/>
  <c r="F43" i="10"/>
  <c r="F47" i="10"/>
  <c r="F51" i="10"/>
  <c r="F80" i="5"/>
  <c r="F83" i="5"/>
  <c r="E83" i="5" s="1"/>
  <c r="H85" i="5"/>
  <c r="J85" i="5"/>
  <c r="F98" i="5"/>
  <c r="E98" i="5" s="1"/>
  <c r="F83" i="10"/>
  <c r="F97" i="5" s="1"/>
  <c r="G101" i="5"/>
  <c r="H101" i="5"/>
  <c r="J101" i="5"/>
  <c r="J21" i="5"/>
  <c r="H21" i="5"/>
  <c r="G36" i="5"/>
  <c r="H36" i="5"/>
  <c r="J36" i="5"/>
  <c r="G39" i="5"/>
  <c r="H39" i="5"/>
  <c r="J39" i="5"/>
  <c r="F82" i="10"/>
  <c r="F88" i="5" s="1"/>
  <c r="F103" i="5"/>
  <c r="F87" i="10"/>
  <c r="F104" i="5" s="1"/>
  <c r="F89" i="10"/>
  <c r="F106" i="5" s="1"/>
  <c r="F90" i="10"/>
  <c r="F107" i="5" s="1"/>
  <c r="F92" i="10"/>
  <c r="F109" i="5" s="1"/>
  <c r="F93" i="10"/>
  <c r="F110" i="5" s="1"/>
  <c r="F94" i="10"/>
  <c r="F111" i="5" s="1"/>
  <c r="F99" i="10"/>
  <c r="F116" i="5" s="1"/>
  <c r="J104" i="5"/>
  <c r="D23" i="16"/>
  <c r="D24" i="16"/>
  <c r="J112" i="5"/>
  <c r="J113" i="5"/>
  <c r="D30" i="16"/>
  <c r="J116" i="5"/>
  <c r="H147" i="5"/>
  <c r="F42" i="5"/>
  <c r="H42" i="5"/>
  <c r="J42" i="5"/>
  <c r="F45" i="5"/>
  <c r="H45" i="5"/>
  <c r="J45" i="5"/>
  <c r="F37" i="11"/>
  <c r="G134" i="5" s="1"/>
  <c r="E134" i="5" s="1"/>
  <c r="F104" i="10"/>
  <c r="F120" i="5" s="1"/>
  <c r="E120" i="5" s="1"/>
  <c r="E49" i="16"/>
  <c r="F49" i="16"/>
  <c r="D49" i="16"/>
  <c r="F54" i="10"/>
  <c r="F75" i="5" s="1"/>
  <c r="F106" i="10"/>
  <c r="H78" i="5"/>
  <c r="J78" i="5"/>
  <c r="F24" i="5"/>
  <c r="E24" i="5" s="1"/>
  <c r="F52" i="11"/>
  <c r="F38" i="16"/>
  <c r="F39" i="16"/>
  <c r="F40" i="16"/>
  <c r="F41" i="16"/>
  <c r="F42" i="16"/>
  <c r="F43" i="16"/>
  <c r="F44" i="16"/>
  <c r="F45" i="16"/>
  <c r="F46" i="16"/>
  <c r="F47" i="16"/>
  <c r="E38" i="16"/>
  <c r="E39" i="16"/>
  <c r="E40" i="16"/>
  <c r="E41" i="16"/>
  <c r="E42" i="16"/>
  <c r="E43" i="16"/>
  <c r="E44" i="16"/>
  <c r="E45" i="16"/>
  <c r="E46" i="16"/>
  <c r="E47" i="16"/>
  <c r="E37" i="16"/>
  <c r="F37" i="16"/>
  <c r="D37" i="16"/>
  <c r="D38" i="16"/>
  <c r="D39" i="16"/>
  <c r="D40" i="16"/>
  <c r="D41" i="16"/>
  <c r="D42" i="16"/>
  <c r="D43" i="16"/>
  <c r="D44" i="16"/>
  <c r="D45" i="16"/>
  <c r="D46" i="16"/>
  <c r="D47" i="16"/>
  <c r="E36" i="16"/>
  <c r="F36" i="16"/>
  <c r="D36" i="16"/>
  <c r="E25" i="16"/>
  <c r="E22" i="16"/>
  <c r="E20" i="16"/>
  <c r="D20" i="16"/>
  <c r="E16" i="16"/>
  <c r="F16" i="16"/>
  <c r="D16" i="16"/>
  <c r="F16" i="11"/>
  <c r="F18" i="11"/>
  <c r="F19" i="11"/>
  <c r="F21" i="11"/>
  <c r="F22" i="11"/>
  <c r="F23" i="11"/>
  <c r="F24" i="11"/>
  <c r="F26" i="11"/>
  <c r="F27" i="11"/>
  <c r="F29" i="11"/>
  <c r="F53" i="11"/>
  <c r="F109" i="10"/>
  <c r="F127" i="5" s="1"/>
  <c r="F118" i="10"/>
  <c r="F132" i="5" s="1"/>
  <c r="E132" i="5" s="1"/>
  <c r="F117" i="10"/>
  <c r="F131" i="5" s="1"/>
  <c r="E131" i="5" s="1"/>
  <c r="F116" i="10"/>
  <c r="F128" i="5" s="1"/>
  <c r="E128" i="5" s="1"/>
  <c r="F114" i="10"/>
  <c r="F130" i="5" s="1"/>
  <c r="F49" i="11"/>
  <c r="G146" i="5" s="1"/>
  <c r="E146" i="5" s="1"/>
  <c r="F76" i="10"/>
  <c r="F84" i="5" s="1"/>
  <c r="F29" i="5"/>
  <c r="E29" i="5" s="1"/>
  <c r="F25" i="5"/>
  <c r="E25" i="5" s="1"/>
  <c r="F17" i="10"/>
  <c r="F16" i="5" s="1"/>
  <c r="F19" i="5"/>
  <c r="E19" i="5" s="1"/>
  <c r="F15" i="10"/>
  <c r="F15" i="5" s="1"/>
  <c r="E15" i="5" s="1"/>
  <c r="F108" i="10"/>
  <c r="F113" i="10"/>
  <c r="F129" i="5" s="1"/>
  <c r="E129" i="5" s="1"/>
  <c r="F102" i="10"/>
  <c r="F118" i="5" s="1"/>
  <c r="F88" i="10"/>
  <c r="F105" i="5" s="1"/>
  <c r="F100" i="10"/>
  <c r="F117" i="5" s="1"/>
  <c r="F103" i="10"/>
  <c r="E119" i="5" s="1"/>
  <c r="F91" i="5"/>
  <c r="E91" i="5" s="1"/>
  <c r="F82" i="5"/>
  <c r="E82" i="5" s="1"/>
  <c r="F55" i="10"/>
  <c r="F62" i="5" s="1"/>
  <c r="E62" i="5" s="1"/>
  <c r="F42" i="10"/>
  <c r="F58" i="10"/>
  <c r="F59" i="10"/>
  <c r="F44" i="10"/>
  <c r="F60" i="10"/>
  <c r="F45" i="10"/>
  <c r="F61" i="10"/>
  <c r="F62" i="10"/>
  <c r="F63" i="10"/>
  <c r="F48" i="10"/>
  <c r="F64" i="10"/>
  <c r="F65" i="10"/>
  <c r="F50" i="10"/>
  <c r="F66" i="10"/>
  <c r="F67" i="10"/>
  <c r="F68" i="10"/>
  <c r="F69" i="10"/>
  <c r="F48" i="5"/>
  <c r="F70" i="10"/>
  <c r="F25" i="11"/>
  <c r="G18" i="5" s="1"/>
  <c r="E18" i="5" s="1"/>
  <c r="F31" i="11"/>
  <c r="G41" i="5" s="1"/>
  <c r="E41" i="5" s="1"/>
  <c r="F30" i="11"/>
  <c r="G44" i="5" s="1"/>
  <c r="F28" i="11"/>
  <c r="F50" i="11"/>
  <c r="G77" i="5" s="1"/>
  <c r="G78" i="5" s="1"/>
  <c r="F33" i="11"/>
  <c r="F35" i="11"/>
  <c r="G133" i="5" s="1"/>
  <c r="F38" i="11"/>
  <c r="G135" i="5" s="1"/>
  <c r="E135" i="5" s="1"/>
  <c r="F39" i="11"/>
  <c r="G136" i="5" s="1"/>
  <c r="E136" i="5" s="1"/>
  <c r="F40" i="11"/>
  <c r="G137" i="5" s="1"/>
  <c r="E137" i="5" s="1"/>
  <c r="F41" i="11"/>
  <c r="G138" i="5" s="1"/>
  <c r="E138" i="5" s="1"/>
  <c r="F42" i="11"/>
  <c r="G139" i="5" s="1"/>
  <c r="E139" i="5" s="1"/>
  <c r="F43" i="11"/>
  <c r="G140" i="5" s="1"/>
  <c r="E140" i="5" s="1"/>
  <c r="F44" i="11"/>
  <c r="G141" i="5" s="1"/>
  <c r="E141" i="5" s="1"/>
  <c r="F45" i="11"/>
  <c r="G142" i="5" s="1"/>
  <c r="E142" i="5" s="1"/>
  <c r="F46" i="11"/>
  <c r="G143" i="5" s="1"/>
  <c r="E143" i="5" s="1"/>
  <c r="F47" i="11"/>
  <c r="G144" i="5" s="1"/>
  <c r="E144" i="5" s="1"/>
  <c r="F48" i="11"/>
  <c r="G145" i="5" s="1"/>
  <c r="E145" i="5" s="1"/>
  <c r="E33" i="8"/>
  <c r="G33" i="8" s="1"/>
  <c r="E35" i="5"/>
  <c r="E89" i="5"/>
  <c r="F22" i="16"/>
  <c r="F91" i="10"/>
  <c r="F27" i="16"/>
  <c r="F96" i="10"/>
  <c r="F113" i="5" s="1"/>
  <c r="F57" i="10"/>
  <c r="F49" i="5" s="1"/>
  <c r="E49" i="5" s="1"/>
  <c r="J109" i="5"/>
  <c r="J115" i="5"/>
  <c r="J147" i="5"/>
  <c r="F123" i="10" l="1"/>
  <c r="I39" i="9"/>
  <c r="G21" i="5"/>
  <c r="E65" i="5"/>
  <c r="C49" i="16"/>
  <c r="F99" i="5"/>
  <c r="F101" i="5" s="1"/>
  <c r="E101" i="5" s="1"/>
  <c r="F17" i="5"/>
  <c r="F108" i="5"/>
  <c r="E108" i="5" s="1"/>
  <c r="E100" i="5"/>
  <c r="E118" i="5"/>
  <c r="F20" i="5"/>
  <c r="E20" i="5" s="1"/>
  <c r="G127" i="5"/>
  <c r="E127" i="5" s="1"/>
  <c r="E77" i="5"/>
  <c r="E116" i="5"/>
  <c r="F30" i="12"/>
  <c r="F55" i="5"/>
  <c r="E55" i="5" s="1"/>
  <c r="F147" i="5"/>
  <c r="C35" i="16"/>
  <c r="F78" i="5"/>
  <c r="C22" i="16"/>
  <c r="F61" i="5"/>
  <c r="E61" i="5" s="1"/>
  <c r="F54" i="5"/>
  <c r="E54" i="5" s="1"/>
  <c r="G42" i="5"/>
  <c r="E42" i="5" s="1"/>
  <c r="E111" i="5"/>
  <c r="G45" i="5"/>
  <c r="E45" i="5" s="1"/>
  <c r="E44" i="5"/>
  <c r="F57" i="5"/>
  <c r="E57" i="5" s="1"/>
  <c r="G85" i="5"/>
  <c r="G95" i="5"/>
  <c r="E133" i="5"/>
  <c r="F60" i="5"/>
  <c r="E60" i="5" s="1"/>
  <c r="E106" i="5"/>
  <c r="F32" i="11"/>
  <c r="G130" i="5" s="1"/>
  <c r="H37" i="1"/>
  <c r="F50" i="5"/>
  <c r="E50" i="5" s="1"/>
  <c r="F59" i="5"/>
  <c r="C16" i="16"/>
  <c r="C19" i="16"/>
  <c r="C20" i="16"/>
  <c r="C28" i="16"/>
  <c r="C23" i="16"/>
  <c r="C31" i="16"/>
  <c r="D26" i="16"/>
  <c r="C26" i="16" s="1"/>
  <c r="C30" i="16"/>
  <c r="C32" i="16"/>
  <c r="C34" i="16"/>
  <c r="C25" i="16"/>
  <c r="C24" i="16"/>
  <c r="D27" i="16"/>
  <c r="C27" i="16" s="1"/>
  <c r="E84" i="5"/>
  <c r="J110" i="5"/>
  <c r="E110" i="5" s="1"/>
  <c r="C18" i="16"/>
  <c r="J87" i="5"/>
  <c r="J95" i="5" s="1"/>
  <c r="C33" i="16"/>
  <c r="C21" i="16"/>
  <c r="C46" i="16"/>
  <c r="H124" i="5"/>
  <c r="E113" i="5"/>
  <c r="E94" i="5"/>
  <c r="E117" i="5"/>
  <c r="E105" i="5"/>
  <c r="E107" i="5"/>
  <c r="E104" i="5"/>
  <c r="C29" i="16"/>
  <c r="C47" i="16"/>
  <c r="C45" i="16"/>
  <c r="C43" i="16"/>
  <c r="C41" i="16"/>
  <c r="E109" i="5"/>
  <c r="C44" i="16"/>
  <c r="C42" i="16"/>
  <c r="F58" i="5"/>
  <c r="E58" i="5" s="1"/>
  <c r="F56" i="5"/>
  <c r="E56" i="5" s="1"/>
  <c r="C39" i="16"/>
  <c r="C37" i="16"/>
  <c r="E103" i="5"/>
  <c r="E47" i="5"/>
  <c r="E115" i="5"/>
  <c r="E75" i="5"/>
  <c r="E23" i="5"/>
  <c r="E26" i="5" s="1"/>
  <c r="F26" i="5"/>
  <c r="F30" i="5"/>
  <c r="E30" i="5" s="1"/>
  <c r="E28" i="5"/>
  <c r="F53" i="5"/>
  <c r="E53" i="5" s="1"/>
  <c r="F52" i="5"/>
  <c r="E52" i="5" s="1"/>
  <c r="F51" i="5"/>
  <c r="E51" i="5" s="1"/>
  <c r="E50" i="16"/>
  <c r="C36" i="16"/>
  <c r="C40" i="16"/>
  <c r="C38" i="16"/>
  <c r="E38" i="5"/>
  <c r="F39" i="5"/>
  <c r="E39" i="5" s="1"/>
  <c r="E112" i="5"/>
  <c r="E114" i="5"/>
  <c r="E48" i="5"/>
  <c r="E32" i="5"/>
  <c r="F36" i="5"/>
  <c r="E36" i="5" s="1"/>
  <c r="E97" i="5"/>
  <c r="F73" i="5"/>
  <c r="E72" i="5"/>
  <c r="E73" i="5" s="1"/>
  <c r="F95" i="5"/>
  <c r="E88" i="5"/>
  <c r="F85" i="5"/>
  <c r="E80" i="5"/>
  <c r="F50" i="16"/>
  <c r="E16" i="5"/>
  <c r="H148" i="5" l="1"/>
  <c r="E59" i="5"/>
  <c r="F67" i="5"/>
  <c r="E67" i="5" s="1"/>
  <c r="F66" i="11"/>
  <c r="F69" i="5"/>
  <c r="E69" i="5" s="1"/>
  <c r="D50" i="16"/>
  <c r="E99" i="5"/>
  <c r="F124" i="5"/>
  <c r="E124" i="5" s="1"/>
  <c r="F21" i="5"/>
  <c r="E130" i="5"/>
  <c r="E126" i="5"/>
  <c r="G124" i="5"/>
  <c r="E78" i="5"/>
  <c r="J124" i="5"/>
  <c r="E85" i="5"/>
  <c r="E17" i="5"/>
  <c r="E95" i="5"/>
  <c r="E87" i="5"/>
  <c r="F148" i="5" l="1"/>
  <c r="E21" i="5"/>
  <c r="G147" i="5"/>
  <c r="G148" i="5" s="1"/>
  <c r="C15" i="16"/>
  <c r="C50" i="16" s="1"/>
  <c r="F70" i="5"/>
  <c r="E147" i="5" l="1"/>
  <c r="E148" i="5" s="1"/>
  <c r="E70" i="5"/>
</calcChain>
</file>

<file path=xl/sharedStrings.xml><?xml version="1.0" encoding="utf-8"?>
<sst xmlns="http://schemas.openxmlformats.org/spreadsheetml/2006/main" count="1580" uniqueCount="498">
  <si>
    <t>Žemės mokestis</t>
  </si>
  <si>
    <t>Nekilnojamojo turto mokestis</t>
  </si>
  <si>
    <t>Pajamos iš baudų ir konfiskacijos</t>
  </si>
  <si>
    <t>Valstybės rinkliavos</t>
  </si>
  <si>
    <t>Iš viso</t>
  </si>
  <si>
    <t>Gatvių apšvietimas</t>
  </si>
  <si>
    <t>Muziejai</t>
  </si>
  <si>
    <t>PAJAMŲ PAVADINIMAS</t>
  </si>
  <si>
    <t>Savivaldybės administracija</t>
  </si>
  <si>
    <t>Gyventojų pajamų mokestis (gautas iš VMI)</t>
  </si>
  <si>
    <t>Mokesčiai</t>
  </si>
  <si>
    <t>Dotacijos</t>
  </si>
  <si>
    <t>Materialiojo ir nematerialiojo turto realizavimo pajamos</t>
  </si>
  <si>
    <t>Savivaldybės gydytojo išlaikymas</t>
  </si>
  <si>
    <t>Kitos sveikatos priežiūros funkcijos</t>
  </si>
  <si>
    <t>Komunalinio ūkio plėtra</t>
  </si>
  <si>
    <t>Daugiatiksliai plėtros projektai</t>
  </si>
  <si>
    <t>Viešoji biblioteka</t>
  </si>
  <si>
    <t>Lazdijų krašto muziejus</t>
  </si>
  <si>
    <t>Transporto lengvatos soc. išskirtiniems asmenims</t>
  </si>
  <si>
    <t>Kitos pajamos</t>
  </si>
  <si>
    <t>Direktoriaus rezervas</t>
  </si>
  <si>
    <t>Keleivių vežimo gerinimas</t>
  </si>
  <si>
    <t>Kitos bendros paslaugos</t>
  </si>
  <si>
    <t>Daugiabučių namų modernizavimo programa</t>
  </si>
  <si>
    <t>Lazdijų meno mokykla</t>
  </si>
  <si>
    <t>Dantų protezavimas</t>
  </si>
  <si>
    <t>Nuomos mokestis už valstybinę žemę ir valstybinio vidaus vandenų fondo vandens telkinius</t>
  </si>
  <si>
    <t>Pajamos už patalpų nuomą</t>
  </si>
  <si>
    <t>Pajamos už atsitiktines paslaugas</t>
  </si>
  <si>
    <t xml:space="preserve">     Valstybinėms (perduotoms savivaldybėms) funkcijoms atlikti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</si>
  <si>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</si>
  <si>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</si>
  <si>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</si>
  <si>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</si>
  <si>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</si>
  <si>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</si>
  <si>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</si>
  <si>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</si>
  <si>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</si>
  <si>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</si>
  <si>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</si>
  <si>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</si>
  <si>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</si>
  <si>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</si>
  <si>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</si>
  <si>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</si>
  <si>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</si>
  <si>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</si>
  <si>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</si>
  <si>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</si>
  <si>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</si>
  <si>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</si>
  <si>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</si>
  <si>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Eil. Nr.</t>
  </si>
  <si>
    <t>1.1.</t>
  </si>
  <si>
    <t>1.2.</t>
  </si>
  <si>
    <t>2.1.</t>
  </si>
  <si>
    <t>1.3.</t>
  </si>
  <si>
    <t>2.2.</t>
  </si>
  <si>
    <t>3.2.</t>
  </si>
  <si>
    <t>3.3.</t>
  </si>
  <si>
    <t>3.1.</t>
  </si>
  <si>
    <t>24.</t>
  </si>
  <si>
    <t>Parama žemės ūkiui</t>
  </si>
  <si>
    <t xml:space="preserve">VšĮ  „Lazdijų  turizmo informacinis centras“ </t>
  </si>
  <si>
    <t xml:space="preserve">VšĮ  „Lazdijų  ligoninė“ </t>
  </si>
  <si>
    <t>VšĮ Lazdijų švietimo centras</t>
  </si>
  <si>
    <t>Paveldimo turto mokestis</t>
  </si>
  <si>
    <t>Mokestis už aplinkos teršimą</t>
  </si>
  <si>
    <t xml:space="preserve">     Mokinio krepšeliui finansuoti</t>
  </si>
  <si>
    <t>Mokesčiai už valstybinius gamtos išteklius</t>
  </si>
  <si>
    <t>Įmokos už išlaikymą švietimo, socialinės apsaugos ir kitose įstaigose</t>
  </si>
  <si>
    <t>Lazdijų rajono savivaldybės tarybos</t>
  </si>
  <si>
    <t xml:space="preserve">IŠ VISO </t>
  </si>
  <si>
    <t>25.</t>
  </si>
  <si>
    <t xml:space="preserve">Savivaldybės administracija </t>
  </si>
  <si>
    <t>Gyventojų pajamų mokestis savivaldybės išlaidų struktūros skirtumams išlyginti</t>
  </si>
  <si>
    <t>Gyventojų pajamų mokestis savivaldybės pajamoms iš gyventojų pajamų mokesčio išlyginti</t>
  </si>
  <si>
    <t>Speciali tikslinė dotacija - iš viso, iš jos:</t>
  </si>
  <si>
    <t>1.4.</t>
  </si>
  <si>
    <t>1.5.</t>
  </si>
  <si>
    <t>1.6.</t>
  </si>
  <si>
    <t>1.7.</t>
  </si>
  <si>
    <t>1.8.</t>
  </si>
  <si>
    <t>1.9.</t>
  </si>
  <si>
    <t>2.1.1.</t>
  </si>
  <si>
    <t>2.1.2.</t>
  </si>
  <si>
    <t>3.4.</t>
  </si>
  <si>
    <t>3.5.</t>
  </si>
  <si>
    <t>3.6.</t>
  </si>
  <si>
    <t>PAJAMOS</t>
  </si>
  <si>
    <t>IŠLAIDOS</t>
  </si>
  <si>
    <t>I.  Žalos aplinkai kompensavimo priemonėms</t>
  </si>
  <si>
    <t>II. Gamtosaugos objektų projektavimui, statybai, remontui, eksploatacijai</t>
  </si>
  <si>
    <t>III. Aplinkos teršimo šaltinių pašalinimui</t>
  </si>
  <si>
    <t>IV. Gyventojų sveikatos apsaugai</t>
  </si>
  <si>
    <t>V. Medžioklės įstatyme numatytoms priemonėms</t>
  </si>
  <si>
    <t>VI. Kitoms aplinkos apsaugos priemonėms</t>
  </si>
  <si>
    <t xml:space="preserve">1 priedas  </t>
  </si>
  <si>
    <t>Išlaidoms</t>
  </si>
  <si>
    <t>Iš jų: darbo užmokes- čiui</t>
  </si>
  <si>
    <t>Vietinės rinkliavos, iš jų:</t>
  </si>
  <si>
    <t>1.9.1.</t>
  </si>
  <si>
    <t xml:space="preserve">     už komunalinių atliekų surinkimą iš atliekų turėtojų ir atliekų tvarkymą</t>
  </si>
  <si>
    <t>Atliekų tvarkymas</t>
  </si>
  <si>
    <t>Studijų rėmimo programa</t>
  </si>
  <si>
    <t>Socialinės globos centras „Židinys“</t>
  </si>
  <si>
    <t>Vaikų laikinosios priežiūros užtikrinimas</t>
  </si>
  <si>
    <t>26.</t>
  </si>
  <si>
    <t>Lazdijų rajono policijos komisariato programa</t>
  </si>
  <si>
    <t>27.</t>
  </si>
  <si>
    <t>Visuomenės sveikatos biuras</t>
  </si>
  <si>
    <t xml:space="preserve">                                             SPECIALIOJI PROGRAMA                                              </t>
  </si>
  <si>
    <t xml:space="preserve">Asignavimų paskirtis                                                                      </t>
  </si>
  <si>
    <t>Bendri asignavi- mai</t>
  </si>
  <si>
    <t>01.</t>
  </si>
  <si>
    <t>Gyventojų registro tvarkymas ir duomenų teikimas</t>
  </si>
  <si>
    <t>Archyvinių dokumentų tvarkymas</t>
  </si>
  <si>
    <t>Civilinės būklės aktų registravimas</t>
  </si>
  <si>
    <t>Gyvenamosios vietos deklaravimas</t>
  </si>
  <si>
    <t>Pirminė teisinė pagalba</t>
  </si>
  <si>
    <t>Darbo rinkos politikos rengimas ir įgyvendinimas</t>
  </si>
  <si>
    <t>Mobilizacijos administravimas</t>
  </si>
  <si>
    <t>Civilinės saugos organizavimas</t>
  </si>
  <si>
    <t>Žemės ūkio funkcijų vykdymas</t>
  </si>
  <si>
    <t>Parama mirties atveju</t>
  </si>
  <si>
    <t>Socialinė parama mokiniams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</si>
  <si>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</si>
  <si>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</si>
  <si>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</si>
  <si>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</si>
  <si>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</si>
  <si>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</si>
  <si>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</si>
  <si>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</si>
  <si>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</si>
  <si>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</si>
  <si>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                                                                                                     Iš viso </t>
  </si>
  <si>
    <t>iš jų:</t>
  </si>
  <si>
    <t>Prog- ra-mos ko-  das</t>
  </si>
  <si>
    <t>Vals-tybės funk-cijos ko-  das</t>
  </si>
  <si>
    <t>Kaimo plėtros programa</t>
  </si>
  <si>
    <t>Reikalai, susiję su būstu</t>
  </si>
  <si>
    <t>VšĮ Lazdijų kultūros centras</t>
  </si>
  <si>
    <t>03.</t>
  </si>
  <si>
    <t>07.</t>
  </si>
  <si>
    <t>09.</t>
  </si>
  <si>
    <t>02.</t>
  </si>
  <si>
    <t>04.</t>
  </si>
  <si>
    <t>08.</t>
  </si>
  <si>
    <t>06.</t>
  </si>
  <si>
    <t>Socialinių paslaugų plėtra globos įstaigose</t>
  </si>
  <si>
    <t>05.</t>
  </si>
  <si>
    <t>Socialinės išmokos</t>
  </si>
  <si>
    <t>Socialinių paslaugų teikimas</t>
  </si>
  <si>
    <t>Neformalusis švietimas</t>
  </si>
  <si>
    <t>Globa asmenims su sunkia negalia</t>
  </si>
  <si>
    <t>Bibliotekos</t>
  </si>
  <si>
    <t>Vals-tybės funk-cijos ko- das</t>
  </si>
  <si>
    <t>Prog- ra-mos ko- das</t>
  </si>
  <si>
    <t>Priežiūra socialinės rizikos šeimoms</t>
  </si>
  <si>
    <t>39.</t>
  </si>
  <si>
    <t>40.</t>
  </si>
  <si>
    <t>41.</t>
  </si>
  <si>
    <t>42.</t>
  </si>
  <si>
    <t>43.</t>
  </si>
  <si>
    <t>ASIGNAVIMAI MOKINIO KREPŠELIUI FINANSUOTI</t>
  </si>
  <si>
    <t>Ikimokyklinis ir pradinis ugdymas</t>
  </si>
  <si>
    <t>Ikimokyklinis ugdymas</t>
  </si>
  <si>
    <t>Valst. kalbos vartojimo ir taisyklingumo kontrolė</t>
  </si>
  <si>
    <t>Medicinos punktų paslaugų kokybės gerinimas</t>
  </si>
  <si>
    <t>Švietimo, kultūros ir sporto skyriaus išlaikymas</t>
  </si>
  <si>
    <t>Prog-ramos kodas</t>
  </si>
  <si>
    <t>Valstybės funkcijos kodas</t>
  </si>
  <si>
    <t>Savivaldybės atstovaujamoji institucija</t>
  </si>
  <si>
    <t>Savivaldybės kontrolės ir audito tarnyba</t>
  </si>
  <si>
    <t>Priemonės</t>
  </si>
  <si>
    <t>iš jų: pagal finansavimo šaltinius</t>
  </si>
  <si>
    <t>02. Vaikų ir jaunimo užimtumo ir socializacijos programa</t>
  </si>
  <si>
    <t>Iš viso:</t>
  </si>
  <si>
    <t>Gyventojų saugumo užtikrinimo paslaugos</t>
  </si>
  <si>
    <t>03. Viešosios tvarkos ir visuomenės apsaugos užtikrinimo programa</t>
  </si>
  <si>
    <t>04. Turizmo ir verslo programa</t>
  </si>
  <si>
    <t>05. Kaimo plėtros programa</t>
  </si>
  <si>
    <t>PROGRAMOMS VYKDYTI</t>
  </si>
  <si>
    <t>06. Viešųjų darbų programa</t>
  </si>
  <si>
    <t>Viešųjų darbų organizavimas</t>
  </si>
  <si>
    <t>07. Melioracijos darbų vykdymo programa</t>
  </si>
  <si>
    <t xml:space="preserve">Melioracija </t>
  </si>
  <si>
    <t>08. Vietinio ūkio ir infrastruktūros priežiūros ir plėtros programa</t>
  </si>
  <si>
    <t xml:space="preserve">09. Aplinkos apsaugos ir teritorijų planavimo programa </t>
  </si>
  <si>
    <t>10. Investicijų programa</t>
  </si>
  <si>
    <t>11. Būsto programa</t>
  </si>
  <si>
    <t>12. Visuomenės ir asmens sveikatos priežiūros programa</t>
  </si>
  <si>
    <t>13. Kultūros ir sporto plėtojimo programa</t>
  </si>
  <si>
    <t>14. Nevyriausybinių organizacijų rėmimo programa</t>
  </si>
  <si>
    <t>15. Švietimo programa</t>
  </si>
  <si>
    <t xml:space="preserve">Papildomos švietimo paslaugos </t>
  </si>
  <si>
    <t>16. Socialinės apsaugos plėtojimo, skurdo bei socialinės atskirties mažinimo programa</t>
  </si>
  <si>
    <t>Socialinės paslaugos globos įstaigose</t>
  </si>
  <si>
    <t>Duomenų teikimas valst. suteiktos pagalbos registrui</t>
  </si>
  <si>
    <t>Kontrolės ir priežiūros institucijos</t>
  </si>
  <si>
    <t xml:space="preserve">Savivaldybės vykdomoji institucija </t>
  </si>
  <si>
    <t xml:space="preserve">Asignavimų valdytojai                               (įstaigų vadovai)                                       </t>
  </si>
  <si>
    <t xml:space="preserve">Asignavimų valdytojai                                                             (įstaigų vadovai)                                       </t>
  </si>
  <si>
    <t xml:space="preserve">Asignavimų valdytojai                   (įstaigų vadovai)                       </t>
  </si>
  <si>
    <t>Būdviečio seniūnija</t>
  </si>
  <si>
    <t>Kapčiamiesčio seniūnija</t>
  </si>
  <si>
    <t>Krosnos seniūnija</t>
  </si>
  <si>
    <t>Kučiūnų seniūnija</t>
  </si>
  <si>
    <t>Lazdijų seniūnija</t>
  </si>
  <si>
    <t>Noragėlių seniūnija</t>
  </si>
  <si>
    <t>Seirijų seniūnija</t>
  </si>
  <si>
    <t>Šlavantų seniūnija</t>
  </si>
  <si>
    <t>Šeštokų seniūnija</t>
  </si>
  <si>
    <t>Šventežerio seniūnija</t>
  </si>
  <si>
    <t>Veisiejų seniūnija</t>
  </si>
  <si>
    <t>01. Savivaldybės valdymo tobulinimo programa</t>
  </si>
  <si>
    <t>PAGAL ASIGNAVIMŲ VALDYTOJUS</t>
  </si>
  <si>
    <t>Lazdijų miesto seniūnija</t>
  </si>
  <si>
    <t xml:space="preserve">Asignavimų valdytojai                                        (įstaigų vadovai)                                    </t>
  </si>
  <si>
    <t>28.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</si>
  <si>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</si>
  <si>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</si>
  <si>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</si>
  <si>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</si>
  <si>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</si>
  <si>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</si>
  <si>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</si>
  <si>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</si>
  <si>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</si>
  <si>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</si>
  <si>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</si>
  <si>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</si>
  <si>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</si>
  <si>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</si>
  <si>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</si>
  <si>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</si>
  <si>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</si>
  <si>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</si>
  <si>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</si>
  <si>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</si>
  <si>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</si>
  <si>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</si>
  <si>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</si>
  <si>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</si>
  <si>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</si>
  <si>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</si>
  <si>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</si>
  <si>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</si>
  <si>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</si>
  <si>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</si>
  <si>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</si>
  <si>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</si>
  <si>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</si>
  <si>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</si>
  <si>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</si>
  <si>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</si>
  <si>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</si>
  <si>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</si>
  <si>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</si>
  <si>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</si>
  <si>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</si>
  <si>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</si>
  <si>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</si>
  <si>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</si>
  <si>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</si>
  <si>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</si>
  <si>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</si>
  <si>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</si>
  <si>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</si>
  <si>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</si>
  <si>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</si>
  <si>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</si>
  <si>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</si>
  <si>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</si>
  <si>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</si>
  <si>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                     SAVIVALDYBĖS SAVARANKIŠKOSIOMS IR KITOMS FUNKCIJOMS VYKDYTI</t>
  </si>
  <si>
    <t>Melioracija</t>
  </si>
  <si>
    <t>Atliekų tvarkymas ir gatvių apšvietimas</t>
  </si>
  <si>
    <t>Socialinės išmokos ir kompensacijos</t>
  </si>
  <si>
    <t>Maisto iš intervencinių atsargų programa</t>
  </si>
  <si>
    <t>Savivaldybės administracijos Finansų skyrius</t>
  </si>
  <si>
    <t>Bendrosios dotacijos kompensacija</t>
  </si>
  <si>
    <t>Priešgaisrinių tarnybų organizavimas</t>
  </si>
  <si>
    <t>Būsto nuomos mokesčio dalies kompensavimas</t>
  </si>
  <si>
    <t>Mokesčiai už aplinkos teršimą</t>
  </si>
  <si>
    <t>Mokesčiai už medžiojamų gyvūnų išteklių naudojimą</t>
  </si>
  <si>
    <t>Mokesčiai už kitus valstybinius gamtos išteklius</t>
  </si>
  <si>
    <t>Europos Sąjungos finansinės paramos lėšos</t>
  </si>
  <si>
    <t>Sandoriams dėl turto bei finansiniams įsipareigo-    jimams vykdyti</t>
  </si>
  <si>
    <t>70.</t>
  </si>
  <si>
    <t xml:space="preserve"> 6 priedas</t>
  </si>
  <si>
    <t>8 priedas</t>
  </si>
  <si>
    <t>Iš viso išlaidų:</t>
  </si>
  <si>
    <t>Religinių bendruomenių rėmimas</t>
  </si>
  <si>
    <t>Nevyriausybinių organizacijų rėmimo programa</t>
  </si>
  <si>
    <t>Nevyriausybinių organizacijų socialinės veiklos rėmimo programa</t>
  </si>
  <si>
    <t>Verslo rėmimo programa</t>
  </si>
  <si>
    <t>telkinius</t>
  </si>
  <si>
    <t>redakcija)</t>
  </si>
  <si>
    <t>Savivaldybės administracijos Finansų sk.</t>
  </si>
  <si>
    <t>Bendri asignavi         mai</t>
  </si>
  <si>
    <t>Lazdijų savivaldybės viešoji biblioteka</t>
  </si>
  <si>
    <t>(2011 m. lapkričio      d. sprendimo Nr. 5TS-</t>
  </si>
  <si>
    <t>2.1.3.</t>
  </si>
  <si>
    <t>2.3.</t>
  </si>
  <si>
    <t>IŠ VISO SAVIVALDYBĖS BIUDŽETO PAJAMŲ</t>
  </si>
  <si>
    <t>iš jų: mero fondas</t>
  </si>
  <si>
    <t>Vaikų teisių apsauga</t>
  </si>
  <si>
    <t>Jaunimo teisių apsauga</t>
  </si>
  <si>
    <t>Gabių vaikų rėmimo programa</t>
  </si>
  <si>
    <t>17.1.</t>
  </si>
  <si>
    <t>Valst. žemės ir kt. valstybinio turto valdymas, naudojimas ir disponavimas patikėjimo teise</t>
  </si>
  <si>
    <t>1. Maudyklų vandens kokybės stebėsenos programos vykdymui</t>
  </si>
  <si>
    <t>Lazdijų mokykla-darželis „Kregždutė“</t>
  </si>
  <si>
    <t>Lazdijų mokykla-darželis „Vyturėlis“</t>
  </si>
  <si>
    <t>Seirijų lopšelis-darželis „Žibutė“</t>
  </si>
  <si>
    <t>Aštriosios Kirsnos mokykla</t>
  </si>
  <si>
    <t>Būdviečio mokykla</t>
  </si>
  <si>
    <t>Kapčiamiesčio Emilijos Pliaterytės mokykla</t>
  </si>
  <si>
    <t>Krosnos mokykla</t>
  </si>
  <si>
    <t>Kučiūnų mokykla</t>
  </si>
  <si>
    <t>Stebulių mokykla</t>
  </si>
  <si>
    <t>Šeštokų mokykla</t>
  </si>
  <si>
    <t>Šventežerio mokykla</t>
  </si>
  <si>
    <t>Lazdijų Motiejaus Gustaičio gimnazija</t>
  </si>
  <si>
    <t>Seirijų Antano Žmuidzinavičiaus gimnazija</t>
  </si>
  <si>
    <t xml:space="preserve">                                                                                                                              Iš viso </t>
  </si>
  <si>
    <t xml:space="preserve">ASIGNAVIMAI VALSTYBINĖMS (VALSTYBĖS PERDUOTOMS SAVIVALDYBĖMS) FUNKCIJOMS VYKDYTI, </t>
  </si>
  <si>
    <t>Specialiųjų ugdymosi poreikių mokiniams</t>
  </si>
  <si>
    <t xml:space="preserve">(2013 m.             d. sprendimo Nr. </t>
  </si>
  <si>
    <t>Lazdijų rajono savivaldybės taryba</t>
  </si>
  <si>
    <t>7 priedas</t>
  </si>
  <si>
    <t>iš jų: Alytaus regiono atliekų tvarkymo centras</t>
  </si>
  <si>
    <t>Turto įsigijimui</t>
  </si>
  <si>
    <t>Finansinių įsipareigojimų vykdymas</t>
  </si>
  <si>
    <t xml:space="preserve">2 priedas  </t>
  </si>
  <si>
    <t>VšĮ Lazdijų ligoninės infrastruktūros modernizavimas</t>
  </si>
  <si>
    <t>Bendruomenių iniciatyvų rėmimas</t>
  </si>
  <si>
    <t>3 priedas</t>
  </si>
  <si>
    <t>VšĮ Lazdijų švietimo centrui</t>
  </si>
  <si>
    <t xml:space="preserve">     Investiciniams projektams finansuoti</t>
  </si>
  <si>
    <t xml:space="preserve">1. Savivaldybės želdynų ir želdinių apsaugai ir tvarkymui </t>
  </si>
  <si>
    <t>1. Vilkų ūkiniams gyvūnams padarytos žalos atlyginimas</t>
  </si>
  <si>
    <t>3. Žemės sklypų, kuriuose  medžioklė   nėra uždrausta, savininkų, valdytojų ir naudotojų įgyvendinamų priemonių finansavimui</t>
  </si>
  <si>
    <t>2. Bebraviečių ardymo valstybei nuosavybės teise priklausančiuose magistraliniuose melioracijos grioviuose darbų finansavimui</t>
  </si>
  <si>
    <t>Socialinės paramos skyriaus išlaikymas</t>
  </si>
  <si>
    <t>Slaugos lovų išlaikymas</t>
  </si>
  <si>
    <t xml:space="preserve">Slaugos lovų išlaikymas </t>
  </si>
  <si>
    <t>Socialinės pagalbos teikimas namuose</t>
  </si>
  <si>
    <t>Kultūros centro pastato rekonstrukcija (VIP)</t>
  </si>
  <si>
    <t>Bendrasis ugdymas</t>
  </si>
  <si>
    <t>Šių išmokų administravimas</t>
  </si>
  <si>
    <t xml:space="preserve">Būsto nuomos mokesčio dalies kompensavimas </t>
  </si>
  <si>
    <t>34.1.</t>
  </si>
  <si>
    <t>Mokinių visuomenės sveikatos priežiūra</t>
  </si>
  <si>
    <t>Visuomenės sveikatos stiprinimas ir stebėsena</t>
  </si>
  <si>
    <t>5.1.</t>
  </si>
  <si>
    <t>6.1.</t>
  </si>
  <si>
    <t>VšĮ Lazdijų sporto centras</t>
  </si>
  <si>
    <t>3. Kitos išlaidos</t>
  </si>
  <si>
    <t>Šildymo išlaidų ir išlaidų vandeniui kompensavimas</t>
  </si>
  <si>
    <t>101.</t>
  </si>
  <si>
    <t>iš jų: turtui įsigyti</t>
  </si>
  <si>
    <t>Etnokultūros plėtojimas</t>
  </si>
  <si>
    <t>Meno kolektyvų populiarinimas</t>
  </si>
  <si>
    <t xml:space="preserve">VšĮ Kultūros centro pastato rekonstrukcija </t>
  </si>
  <si>
    <t>102.</t>
  </si>
  <si>
    <t>2.4.</t>
  </si>
  <si>
    <t>Kitos dotacijos ir lėšos iš kitų valdymo lygių</t>
  </si>
  <si>
    <t xml:space="preserve">SPECIALIŲJŲ UGDYMOSI POREIKIŲ MOKINIAMS, VALSTYBĖS INVESTICIJŲ PROGRAMOS PROJEKTAMS FINANSUOTI </t>
  </si>
  <si>
    <t>Kelių priežiūros ir plėtros programos lėšos</t>
  </si>
  <si>
    <t xml:space="preserve">valstybi-      nėms funkcijoms ir kitos dotacijos          </t>
  </si>
  <si>
    <t>Kelių priežiūra ir plėtra</t>
  </si>
  <si>
    <t xml:space="preserve">Veisiejų Sigito Gedos gimnazija </t>
  </si>
  <si>
    <t>Veisiejų Sigito Gedos gimnazija</t>
  </si>
  <si>
    <t>Kompensacijoms nepriklausomybės gynėjams, nukentėjusiems nuo 1991 m. sausio 11-13 d. ir po vykdytos SSRS agresijos, bei jų šeimoms mokėti</t>
  </si>
  <si>
    <t>iš jų: darbo užmokesčiui</t>
  </si>
  <si>
    <t xml:space="preserve">         turtui įsigyti</t>
  </si>
  <si>
    <t>12.1.</t>
  </si>
  <si>
    <t xml:space="preserve">VšĮ  „Darbo vietų kūrimo fondas“ </t>
  </si>
  <si>
    <t xml:space="preserve">                                                                4 priedas</t>
  </si>
  <si>
    <t>15.2.</t>
  </si>
  <si>
    <t xml:space="preserve"> 2016 METŲ LAZDIJŲ RAJONO SAVIVALDYBĖS BIUDŽETO ASIGNAVIMAI</t>
  </si>
  <si>
    <t>Neformalusis vaikų švietimas</t>
  </si>
  <si>
    <t>2016 METŲ LAZDIJŲ RAJONO SAVIVALDYBĖS BIUDŽETINIŲ ĮSTAIGŲ PAJAMOS</t>
  </si>
  <si>
    <t>(tūkst. eurų)</t>
  </si>
  <si>
    <t>Prog- ramos kodas</t>
  </si>
  <si>
    <t xml:space="preserve">Asignavimų paskirtis, programų priemonės                                                                      </t>
  </si>
  <si>
    <t xml:space="preserve">Dalyvavimas dainų šventėje  </t>
  </si>
  <si>
    <t>Būsto pritaikymas neįgaliesiems</t>
  </si>
  <si>
    <t>Kelių priežiūros ir plėtros programa</t>
  </si>
  <si>
    <t xml:space="preserve">2016 METŲ LAZDIJŲ RAJONO SAVIVALDYBĖS APLINKOS APSAUGOS RĖMIMO </t>
  </si>
  <si>
    <t>Priešgaisrinė tarnyba</t>
  </si>
  <si>
    <t>Dalyvavimas dainų šventėje</t>
  </si>
  <si>
    <t xml:space="preserve">VšĮ  „Lazdijų  turizmo informacinis c.“ </t>
  </si>
  <si>
    <t>Paskolų aptarnavimas</t>
  </si>
  <si>
    <t>2016 METŲ LAZDIJŲ RAJONO SAVIVALDYBĖS BIUDŽETO ASIGNAVIMAI</t>
  </si>
  <si>
    <t xml:space="preserve">Lėšos savarankiš-koms funkcijoms vykdyti </t>
  </si>
  <si>
    <t>Biudže-   tinių įstaigų pajamos</t>
  </si>
  <si>
    <t>Bendro-       sios dotacijos kompen-    sacija</t>
  </si>
  <si>
    <t>mokinio krepše-     liui</t>
  </si>
  <si>
    <t>Bendri asigna-     vimai</t>
  </si>
  <si>
    <t>Vaikų vasaros poilsio stovyklos</t>
  </si>
  <si>
    <t>Vaikų ir paauglių nusikalstamumo prevencija</t>
  </si>
  <si>
    <t xml:space="preserve">2016 METŲ LAZDIJŲ RAJONO SAVIVALDYBĖS BIUDŽETO PAJAMOS </t>
  </si>
  <si>
    <t xml:space="preserve">                        2016 METŲ LAZDIJŲ RAJONO SAVIVALDYBĖS BIUDŽETO ASIGNAVIMAI</t>
  </si>
  <si>
    <t>IŠ VISO ASIGNAVIMŲ PROGRAMOMS:</t>
  </si>
  <si>
    <t>Iš viso 16 programai:</t>
  </si>
  <si>
    <t>Iš viso 15 programai:</t>
  </si>
  <si>
    <t>Iš viso 14 programai:</t>
  </si>
  <si>
    <t>Iš viso 13 programai:</t>
  </si>
  <si>
    <t>Iš viso 12  programai:</t>
  </si>
  <si>
    <t>Iš viso 11  programai:</t>
  </si>
  <si>
    <t>Iš viso 10 programai:</t>
  </si>
  <si>
    <t>Iš viso 04 programai:</t>
  </si>
  <si>
    <t>Iš viso 03 programai:</t>
  </si>
  <si>
    <t>Iš viso 02  programai:</t>
  </si>
  <si>
    <t>Iš viso 01 programai:</t>
  </si>
  <si>
    <t>Iš viso 05  programai:</t>
  </si>
  <si>
    <t>Iš viso 06 programai:</t>
  </si>
  <si>
    <t>Iš viso 07 programai:</t>
  </si>
  <si>
    <t>Iš viso 08 programai:</t>
  </si>
  <si>
    <t>Iš viso 09  programai:</t>
  </si>
  <si>
    <t>Jaunimo politikos įgyvendinimui</t>
  </si>
  <si>
    <t>Medicinos punktų slaugos paslaugų kokybės gerinimas</t>
  </si>
  <si>
    <t xml:space="preserve">Aplinkos apsaugos rėmimo specialioji programa </t>
  </si>
  <si>
    <t>Nevyriausybinių organizacijų rėmimas</t>
  </si>
  <si>
    <t>Nevyriausybinių organizacijų socialinės veiklos rėmimas</t>
  </si>
  <si>
    <t>1. Visuomenės sveikatos rėmimo specialiosios programos vykdymui</t>
  </si>
  <si>
    <t>2015 m. nepanaudoti lėšų likučiai</t>
  </si>
  <si>
    <t xml:space="preserve">  - Savarankiškoms funkcijoms vykdyti</t>
  </si>
  <si>
    <t xml:space="preserve">  - Aplinkos apsaugos specialiosios programos pajamos</t>
  </si>
  <si>
    <t xml:space="preserve">  - Biudžetinių įstaigų pajamos</t>
  </si>
  <si>
    <t xml:space="preserve">  - Pajamos už komunalinių atliekų surinkimą iš atliekų turėtojų ir atliekų tvarkymą</t>
  </si>
  <si>
    <t xml:space="preserve">  - Kitos tikslinės lėšos</t>
  </si>
  <si>
    <t>6.2.</t>
  </si>
  <si>
    <t>6.3.</t>
  </si>
  <si>
    <t>6.4.</t>
  </si>
  <si>
    <t>6.5.</t>
  </si>
  <si>
    <t>Paskolų grąžinimas</t>
  </si>
  <si>
    <t>103.</t>
  </si>
  <si>
    <t xml:space="preserve">Iš viso  </t>
  </si>
  <si>
    <t>52.</t>
  </si>
  <si>
    <t>19.1.</t>
  </si>
  <si>
    <t>33.1.</t>
  </si>
  <si>
    <t>Turto įsigiji- mui</t>
  </si>
  <si>
    <t xml:space="preserve">IR KITOS SPECIALIOS TIKSLINĖS DOTACIJOS </t>
  </si>
  <si>
    <t xml:space="preserve">                   Visuomenės sveikatos rėmimo specialiosios programos vykdymui</t>
  </si>
  <si>
    <t>1. Metelių RP gamtos mokyklos-lankytojų centro veiklai, visuomenei skirtų teritorijų priežiūrai, invazinių augalų rūšių kontrolei ir naikinimui</t>
  </si>
  <si>
    <t>2. Veisiejų RP kultūros paveldo ir rekreacinių teritorijų priežiūrai, švietėjiškai veiklai ir biologinės įvairovės išsaugojimui</t>
  </si>
  <si>
    <t>2. Bešeimininkių padangų atliekų transportavimo išlaidoms padengti</t>
  </si>
  <si>
    <t>3. Projekto ,,Baltajo ežero dalies išvalymas ir tvarkymas" monitoringo programos finansavimui</t>
  </si>
  <si>
    <t>1. Aplinkosauginių renginių organizavimui</t>
  </si>
  <si>
    <t>2015 m. nepanaudoti biudžeto lėšų likučiai, iš jų:</t>
  </si>
  <si>
    <t>Išlaidos iš likučio</t>
  </si>
  <si>
    <t>2. Medžių (krūmų) sodinukų įsigijimui ir veisimui rajono savivaldybės                teritorijoje</t>
  </si>
  <si>
    <t>2. Visuomenės aplinkosauginio informavimo ir švietimo priemonių vykdymui</t>
  </si>
  <si>
    <t xml:space="preserve">                                                                                                                     (tūkst. Eur)</t>
  </si>
  <si>
    <t>(tūkst. Eur)</t>
  </si>
  <si>
    <t>(tūkst.Eur)</t>
  </si>
  <si>
    <t xml:space="preserve">                                                                                                                                                      (tūkst. Eur)</t>
  </si>
  <si>
    <t xml:space="preserve">                       Kitos aplinkos apsaugos priemonės</t>
  </si>
  <si>
    <t xml:space="preserve">                                                                              Iš viso pajamų:</t>
  </si>
  <si>
    <t xml:space="preserve">2016 m. vasario 19 d. sprendimo Nr. 5TS-343 </t>
  </si>
  <si>
    <t xml:space="preserve">                                                                redakcija)</t>
  </si>
  <si>
    <t xml:space="preserve">                                                            Lazdijų rajono savivaldybės tarybos</t>
  </si>
  <si>
    <t xml:space="preserve">                                                                2016 m. vasario 19 d. sprendimo Nr. 5TS-343 </t>
  </si>
  <si>
    <t>2016 m. vasario 19 d. sprendimo Nr. 5TS-343</t>
  </si>
  <si>
    <t xml:space="preserve">2016 m. vasario 19 d. sprendimo Nr. 5TS-343      </t>
  </si>
  <si>
    <t>4. Bešeimininkių šiferio atliekų transportavimo išlaidoms padengti</t>
  </si>
  <si>
    <t>5. Bešeimininkių šiferio atliekų sutvarkymo išlaidoms padengti</t>
  </si>
  <si>
    <t>Neformalus vaikų švietimas</t>
  </si>
  <si>
    <t>5 priedas</t>
  </si>
  <si>
    <t>Kultūros ir meno darbuotojų DU padidinimas</t>
  </si>
  <si>
    <t>VšĮ Kultūros centrui kultūros ir meno darbuotojų DU padidinimas</t>
  </si>
  <si>
    <t>Mokytojų skaičiaus optimizavimui</t>
  </si>
  <si>
    <t>Įstaigos modernizavimo programai</t>
  </si>
  <si>
    <t>UAB „Lazdijų vanduo“</t>
  </si>
  <si>
    <t>6. Sorbentų ir kitų priemonių, reikalingų avarijų padariniams likviduoti, pirkimui</t>
  </si>
  <si>
    <t>104.</t>
  </si>
  <si>
    <t>Priešgaisrinės saugos organizavimas</t>
  </si>
  <si>
    <t>AAPGV Lazdijų priešgaisrinė gelbėjimo tarnyba</t>
  </si>
  <si>
    <t>105.</t>
  </si>
  <si>
    <t>Organizuoti gaisrų prevenciją</t>
  </si>
  <si>
    <t>106.</t>
  </si>
  <si>
    <t>107.</t>
  </si>
  <si>
    <t xml:space="preserve">VšĮ  „Lazdijų  savivaldybės pirminės sveikatos priežiūros centras“ </t>
  </si>
  <si>
    <t>25.1.</t>
  </si>
  <si>
    <t>108.</t>
  </si>
  <si>
    <t>(2016 m. gruodžio 16 d. sprendimo Nr. 5TS</t>
  </si>
  <si>
    <t>(2016 m. gruodžio 16 d. sprendimo Nr. 5TS-</t>
  </si>
  <si>
    <t xml:space="preserve">                                                                (2016 m. gruodžio 16 d. sprendimo Nr. 5TS-</t>
  </si>
  <si>
    <t>(2016 m. gruodžio 16  d. sprendimo Nr. 5TS-</t>
  </si>
  <si>
    <t>(2016 m. gruodžio 2 d. sprendimo Nr. 5TS-707</t>
  </si>
  <si>
    <t xml:space="preserve">     2016 METŲ LAZDIJŲ RAJONO SAVIVALDYBĖS BIUDŽETO SPECIALIOS TIKSLINĖS DOTACIJOS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</si>
</sst>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charset val="186"/>
    </font>
    <font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245">
    <xf numFmtId="0" fontId="0" fillId="0" borderId="0" xfId="0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9" xfId="0" applyFont="1" applyFill="1" applyBorder="1"/>
    <xf numFmtId="0" fontId="3" fillId="0" borderId="0" xfId="0" applyFont="1" applyFill="1"/>
    <xf numFmtId="0" fontId="1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1" fillId="0" borderId="8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17" fontId="1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2" fontId="3" fillId="0" borderId="0" xfId="0" applyNumberFormat="1" applyFont="1" applyFill="1"/>
    <xf numFmtId="14" fontId="3" fillId="0" borderId="0" xfId="0" applyNumberFormat="1" applyFont="1" applyFill="1"/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/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6" fillId="0" borderId="2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2" fontId="3" fillId="0" borderId="2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3" fillId="0" borderId="32" xfId="0" applyNumberFormat="1" applyFont="1" applyFill="1" applyBorder="1" applyAlignment="1">
      <alignment horizontal="center"/>
    </xf>
    <xf numFmtId="164" fontId="3" fillId="0" borderId="3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/>
    </xf>
    <xf numFmtId="164" fontId="3" fillId="0" borderId="2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7" fillId="0" borderId="0" xfId="0" applyFont="1" applyFill="1"/>
    <xf numFmtId="1" fontId="3" fillId="0" borderId="2" xfId="0" applyNumberFormat="1" applyFont="1" applyFill="1" applyBorder="1" applyAlignment="1">
      <alignment horizontal="center"/>
    </xf>
    <xf numFmtId="0" fontId="10" fillId="0" borderId="0" xfId="0" applyFont="1" applyFill="1"/>
    <xf numFmtId="0" fontId="3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2" fontId="3" fillId="0" borderId="6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164" fontId="4" fillId="0" borderId="2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8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</sheetPr>
  <dimension ref="A1:I45"/>
  <sheetViews>
    <sheetView topLeftCell="A19" workbookViewId="0">
      <selection activeCell="H22" sqref="H22"/>
    </sheetView>
  </sheetViews>
  <sheetFormatPr defaultColWidth="9.140625" defaultRowHeight="15.75" x14ac:dyDescent="0.25"/>
  <cols>
    <col min="1" max="1" width="7.5703125" style="6" customWidth="1"/>
    <col min="2" max="3" width="9.140625" style="6"/>
    <col min="4" max="4" width="10.140625" style="6" bestFit="1" customWidth="1"/>
    <col min="5" max="6" width="9.140625" style="6"/>
    <col min="7" max="7" width="26.42578125" style="6" customWidth="1"/>
    <col min="8" max="8" width="12.28515625" style="110" customWidth="1"/>
    <col min="9" max="9" width="9.140625" style="6" hidden="1" customWidth="1"/>
    <col min="10" max="10" width="10.140625" style="6" bestFit="1" customWidth="1"/>
    <col min="11" max="11" width="10.140625" style="6" customWidth="1"/>
    <col min="12" max="13" width="10.140625" style="6" bestFit="1" customWidth="1"/>
    <col min="14" max="14" width="11.5703125" style="6" bestFit="1" customWidth="1"/>
    <col min="15" max="16384" width="9.140625" style="6"/>
  </cols>
  <sheetData>
    <row r="1" spans="1:9" ht="15.75" customHeight="1" x14ac:dyDescent="0.25">
      <c r="F1" s="157" t="s">
        <v>73</v>
      </c>
      <c r="G1" s="157"/>
      <c r="H1" s="157"/>
    </row>
    <row r="2" spans="1:9" ht="15.75" customHeight="1" x14ac:dyDescent="0.25">
      <c r="F2" s="157" t="s">
        <v>466</v>
      </c>
      <c r="G2" s="157"/>
      <c r="H2" s="157"/>
      <c r="I2" s="157"/>
    </row>
    <row r="3" spans="1:9" ht="18" customHeight="1" x14ac:dyDescent="0.25">
      <c r="F3" s="157" t="s">
        <v>99</v>
      </c>
      <c r="G3" s="157"/>
    </row>
    <row r="4" spans="1:9" ht="16.5" customHeight="1" x14ac:dyDescent="0.25">
      <c r="F4" s="97" t="s">
        <v>493</v>
      </c>
      <c r="G4" s="97"/>
    </row>
    <row r="5" spans="1:9" ht="15.75" customHeight="1" x14ac:dyDescent="0.25">
      <c r="F5" s="6" t="s">
        <v>301</v>
      </c>
      <c r="G5" s="7"/>
      <c r="H5" s="7"/>
    </row>
    <row r="6" spans="1:9" ht="20.25" customHeight="1" x14ac:dyDescent="0.25">
      <c r="B6" s="159" t="s">
        <v>407</v>
      </c>
      <c r="C6" s="159"/>
      <c r="D6" s="159"/>
      <c r="E6" s="159"/>
      <c r="F6" s="159"/>
      <c r="G6" s="159"/>
      <c r="H6" s="159"/>
    </row>
    <row r="7" spans="1:9" ht="16.5" customHeight="1" x14ac:dyDescent="0.25">
      <c r="B7" s="162" t="s">
        <v>460</v>
      </c>
      <c r="C7" s="162"/>
      <c r="D7" s="162"/>
      <c r="E7" s="162"/>
      <c r="F7" s="162"/>
      <c r="G7" s="162"/>
      <c r="H7" s="162"/>
    </row>
    <row r="8" spans="1:9" ht="18" customHeight="1" x14ac:dyDescent="0.25">
      <c r="A8" s="1" t="s">
        <v>54</v>
      </c>
      <c r="B8" s="160" t="s">
        <v>7</v>
      </c>
      <c r="C8" s="160"/>
      <c r="D8" s="160"/>
      <c r="E8" s="160"/>
      <c r="F8" s="160"/>
      <c r="G8" s="160"/>
      <c r="H8" s="111" t="s">
        <v>74</v>
      </c>
    </row>
    <row r="9" spans="1:9" ht="18.75" customHeight="1" x14ac:dyDescent="0.25">
      <c r="A9" s="49" t="s">
        <v>31</v>
      </c>
      <c r="B9" s="163" t="s">
        <v>10</v>
      </c>
      <c r="C9" s="164"/>
      <c r="D9" s="164"/>
      <c r="E9" s="164"/>
      <c r="F9" s="164"/>
      <c r="G9" s="165"/>
      <c r="H9" s="64">
        <f>SUM(H10:H18)</f>
        <v>8442</v>
      </c>
    </row>
    <row r="10" spans="1:9" ht="18" customHeight="1" x14ac:dyDescent="0.25">
      <c r="A10" s="49" t="s">
        <v>55</v>
      </c>
      <c r="B10" s="161" t="s">
        <v>9</v>
      </c>
      <c r="C10" s="161"/>
      <c r="D10" s="161"/>
      <c r="E10" s="161"/>
      <c r="F10" s="161"/>
      <c r="G10" s="161"/>
      <c r="H10" s="53">
        <v>3219</v>
      </c>
    </row>
    <row r="11" spans="1:9" ht="22.5" customHeight="1" x14ac:dyDescent="0.25">
      <c r="A11" s="112" t="s">
        <v>56</v>
      </c>
      <c r="B11" s="166" t="s">
        <v>77</v>
      </c>
      <c r="C11" s="166"/>
      <c r="D11" s="166"/>
      <c r="E11" s="166"/>
      <c r="F11" s="166"/>
      <c r="G11" s="166"/>
      <c r="H11" s="113">
        <v>1804</v>
      </c>
    </row>
    <row r="12" spans="1:9" ht="29.25" customHeight="1" x14ac:dyDescent="0.25">
      <c r="A12" s="112" t="s">
        <v>58</v>
      </c>
      <c r="B12" s="166" t="s">
        <v>78</v>
      </c>
      <c r="C12" s="166"/>
      <c r="D12" s="166"/>
      <c r="E12" s="166"/>
      <c r="F12" s="166"/>
      <c r="G12" s="166"/>
      <c r="H12" s="113">
        <v>2577</v>
      </c>
    </row>
    <row r="13" spans="1:9" ht="18" customHeight="1" x14ac:dyDescent="0.25">
      <c r="A13" s="49" t="s">
        <v>80</v>
      </c>
      <c r="B13" s="161" t="s">
        <v>0</v>
      </c>
      <c r="C13" s="161"/>
      <c r="D13" s="161"/>
      <c r="E13" s="161"/>
      <c r="F13" s="161"/>
      <c r="G13" s="161"/>
      <c r="H13" s="53">
        <v>170</v>
      </c>
    </row>
    <row r="14" spans="1:9" ht="18" customHeight="1" x14ac:dyDescent="0.25">
      <c r="A14" s="49" t="s">
        <v>81</v>
      </c>
      <c r="B14" s="161" t="s">
        <v>1</v>
      </c>
      <c r="C14" s="161"/>
      <c r="D14" s="161"/>
      <c r="E14" s="161"/>
      <c r="F14" s="161"/>
      <c r="G14" s="161"/>
      <c r="H14" s="53">
        <v>98</v>
      </c>
    </row>
    <row r="15" spans="1:9" ht="18" customHeight="1" x14ac:dyDescent="0.25">
      <c r="A15" s="49" t="s">
        <v>82</v>
      </c>
      <c r="B15" s="161" t="s">
        <v>68</v>
      </c>
      <c r="C15" s="161"/>
      <c r="D15" s="161"/>
      <c r="E15" s="161"/>
      <c r="F15" s="161"/>
      <c r="G15" s="161"/>
      <c r="H15" s="53">
        <v>2</v>
      </c>
    </row>
    <row r="16" spans="1:9" ht="18" customHeight="1" x14ac:dyDescent="0.25">
      <c r="A16" s="49" t="s">
        <v>83</v>
      </c>
      <c r="B16" s="158" t="s">
        <v>69</v>
      </c>
      <c r="C16" s="158"/>
      <c r="D16" s="158"/>
      <c r="E16" s="158"/>
      <c r="F16" s="158"/>
      <c r="G16" s="158"/>
      <c r="H16" s="53">
        <v>18</v>
      </c>
    </row>
    <row r="17" spans="1:8" ht="18" customHeight="1" x14ac:dyDescent="0.25">
      <c r="A17" s="49" t="s">
        <v>84</v>
      </c>
      <c r="B17" s="158" t="s">
        <v>3</v>
      </c>
      <c r="C17" s="158"/>
      <c r="D17" s="158"/>
      <c r="E17" s="158"/>
      <c r="F17" s="158"/>
      <c r="G17" s="158"/>
      <c r="H17" s="53">
        <v>29</v>
      </c>
    </row>
    <row r="18" spans="1:8" ht="18.75" customHeight="1" x14ac:dyDescent="0.25">
      <c r="A18" s="49" t="s">
        <v>85</v>
      </c>
      <c r="B18" s="158" t="s">
        <v>102</v>
      </c>
      <c r="C18" s="158"/>
      <c r="D18" s="158"/>
      <c r="E18" s="158"/>
      <c r="F18" s="158"/>
      <c r="G18" s="158"/>
      <c r="H18" s="53">
        <v>525</v>
      </c>
    </row>
    <row r="19" spans="1:8" ht="18" customHeight="1" x14ac:dyDescent="0.25">
      <c r="A19" s="49" t="s">
        <v>103</v>
      </c>
      <c r="B19" s="158" t="s">
        <v>104</v>
      </c>
      <c r="C19" s="158"/>
      <c r="D19" s="158"/>
      <c r="E19" s="158"/>
      <c r="F19" s="158"/>
      <c r="G19" s="158"/>
      <c r="H19" s="53">
        <v>500</v>
      </c>
    </row>
    <row r="20" spans="1:8" ht="18" customHeight="1" x14ac:dyDescent="0.25">
      <c r="A20" s="49" t="s">
        <v>32</v>
      </c>
      <c r="B20" s="163" t="s">
        <v>11</v>
      </c>
      <c r="C20" s="164"/>
      <c r="D20" s="164"/>
      <c r="E20" s="164"/>
      <c r="F20" s="164"/>
      <c r="G20" s="165"/>
      <c r="H20" s="64">
        <f>SUM(H22:H27)</f>
        <v>9890.5</v>
      </c>
    </row>
    <row r="21" spans="1:8" ht="18" customHeight="1" x14ac:dyDescent="0.25">
      <c r="A21" s="49" t="s">
        <v>57</v>
      </c>
      <c r="B21" s="158" t="s">
        <v>79</v>
      </c>
      <c r="C21" s="158"/>
      <c r="D21" s="158"/>
      <c r="E21" s="158"/>
      <c r="F21" s="158"/>
      <c r="G21" s="158"/>
      <c r="H21" s="53">
        <f>SUM(H22:H24)</f>
        <v>6487.7</v>
      </c>
    </row>
    <row r="22" spans="1:8" ht="18" customHeight="1" x14ac:dyDescent="0.25">
      <c r="A22" s="49" t="s">
        <v>86</v>
      </c>
      <c r="B22" s="158" t="s">
        <v>30</v>
      </c>
      <c r="C22" s="158"/>
      <c r="D22" s="158"/>
      <c r="E22" s="158"/>
      <c r="F22" s="158"/>
      <c r="G22" s="158"/>
      <c r="H22" s="53">
        <f>2052.9-7+62.8-10.4</f>
        <v>2098.3000000000002</v>
      </c>
    </row>
    <row r="23" spans="1:8" ht="18" customHeight="1" x14ac:dyDescent="0.25">
      <c r="A23" s="49" t="s">
        <v>87</v>
      </c>
      <c r="B23" s="158" t="s">
        <v>70</v>
      </c>
      <c r="C23" s="158"/>
      <c r="D23" s="158"/>
      <c r="E23" s="158"/>
      <c r="F23" s="158"/>
      <c r="G23" s="158"/>
      <c r="H23" s="53">
        <f>3997+4.2-10.8</f>
        <v>3990.3999999999996</v>
      </c>
    </row>
    <row r="24" spans="1:8" ht="18" customHeight="1" x14ac:dyDescent="0.25">
      <c r="A24" s="49" t="s">
        <v>306</v>
      </c>
      <c r="B24" s="154" t="s">
        <v>343</v>
      </c>
      <c r="C24" s="155"/>
      <c r="D24" s="155"/>
      <c r="E24" s="155"/>
      <c r="F24" s="155"/>
      <c r="G24" s="156"/>
      <c r="H24" s="53">
        <f>251+103+45</f>
        <v>399</v>
      </c>
    </row>
    <row r="25" spans="1:8" ht="18" customHeight="1" x14ac:dyDescent="0.25">
      <c r="A25" s="49" t="s">
        <v>59</v>
      </c>
      <c r="B25" s="154" t="s">
        <v>284</v>
      </c>
      <c r="C25" s="155"/>
      <c r="D25" s="155"/>
      <c r="E25" s="155"/>
      <c r="F25" s="155"/>
      <c r="G25" s="156"/>
      <c r="H25" s="53">
        <v>1452</v>
      </c>
    </row>
    <row r="26" spans="1:8" ht="18" customHeight="1" x14ac:dyDescent="0.25">
      <c r="A26" s="49" t="s">
        <v>307</v>
      </c>
      <c r="B26" s="154" t="s">
        <v>371</v>
      </c>
      <c r="C26" s="155"/>
      <c r="D26" s="155"/>
      <c r="E26" s="155"/>
      <c r="F26" s="155"/>
      <c r="G26" s="156"/>
      <c r="H26" s="53">
        <f>17+846.3+2.1+380+100.8+13.6+47.5+1.9+71.4+0.2+132.9+35</f>
        <v>1648.7000000000003</v>
      </c>
    </row>
    <row r="27" spans="1:8" ht="18" customHeight="1" x14ac:dyDescent="0.25">
      <c r="A27" s="49" t="s">
        <v>370</v>
      </c>
      <c r="B27" s="154" t="s">
        <v>290</v>
      </c>
      <c r="C27" s="155"/>
      <c r="D27" s="155"/>
      <c r="E27" s="155"/>
      <c r="F27" s="155"/>
      <c r="G27" s="156"/>
      <c r="H27" s="81">
        <f>252+49+1.1</f>
        <v>302.10000000000002</v>
      </c>
    </row>
    <row r="28" spans="1:8" ht="18.75" customHeight="1" x14ac:dyDescent="0.25">
      <c r="A28" s="13" t="s">
        <v>33</v>
      </c>
      <c r="B28" s="163" t="s">
        <v>20</v>
      </c>
      <c r="C28" s="164"/>
      <c r="D28" s="164"/>
      <c r="E28" s="164"/>
      <c r="F28" s="164"/>
      <c r="G28" s="165"/>
      <c r="H28" s="64">
        <f>SUM(H29:H35)</f>
        <v>246.90000000000003</v>
      </c>
    </row>
    <row r="29" spans="1:8" ht="15.75" customHeight="1" x14ac:dyDescent="0.25">
      <c r="A29" s="13" t="s">
        <v>62</v>
      </c>
      <c r="B29" s="173" t="s">
        <v>27</v>
      </c>
      <c r="C29" s="173"/>
      <c r="D29" s="173"/>
      <c r="E29" s="173"/>
      <c r="F29" s="173"/>
      <c r="G29" s="173"/>
      <c r="H29" s="171">
        <v>48</v>
      </c>
    </row>
    <row r="30" spans="1:8" ht="15.75" customHeight="1" x14ac:dyDescent="0.25">
      <c r="A30" s="57"/>
      <c r="B30" s="174" t="s">
        <v>300</v>
      </c>
      <c r="C30" s="174"/>
      <c r="D30" s="174"/>
      <c r="E30" s="174"/>
      <c r="F30" s="174"/>
      <c r="G30" s="174"/>
      <c r="H30" s="172"/>
    </row>
    <row r="31" spans="1:8" ht="16.5" customHeight="1" x14ac:dyDescent="0.25">
      <c r="A31" s="49" t="s">
        <v>60</v>
      </c>
      <c r="B31" s="169" t="s">
        <v>71</v>
      </c>
      <c r="C31" s="169"/>
      <c r="D31" s="169"/>
      <c r="E31" s="169"/>
      <c r="F31" s="169"/>
      <c r="G31" s="170"/>
      <c r="H31" s="53">
        <v>23</v>
      </c>
    </row>
    <row r="32" spans="1:8" ht="16.5" customHeight="1" x14ac:dyDescent="0.25">
      <c r="A32" s="49" t="s">
        <v>61</v>
      </c>
      <c r="B32" s="158" t="s">
        <v>28</v>
      </c>
      <c r="C32" s="158"/>
      <c r="D32" s="158"/>
      <c r="E32" s="158"/>
      <c r="F32" s="158"/>
      <c r="G32" s="158"/>
      <c r="H32" s="81">
        <v>11.9</v>
      </c>
    </row>
    <row r="33" spans="1:9" ht="16.5" customHeight="1" x14ac:dyDescent="0.25">
      <c r="A33" s="49" t="s">
        <v>88</v>
      </c>
      <c r="B33" s="158" t="s">
        <v>29</v>
      </c>
      <c r="C33" s="158"/>
      <c r="D33" s="158"/>
      <c r="E33" s="158"/>
      <c r="F33" s="158"/>
      <c r="G33" s="158"/>
      <c r="H33" s="81">
        <v>10.8</v>
      </c>
    </row>
    <row r="34" spans="1:9" ht="16.5" customHeight="1" x14ac:dyDescent="0.25">
      <c r="A34" s="49" t="s">
        <v>89</v>
      </c>
      <c r="B34" s="158" t="s">
        <v>72</v>
      </c>
      <c r="C34" s="158"/>
      <c r="D34" s="158"/>
      <c r="E34" s="158"/>
      <c r="F34" s="158"/>
      <c r="G34" s="158"/>
      <c r="H34" s="81">
        <f>142.3+1.4+4+4.5</f>
        <v>152.20000000000002</v>
      </c>
    </row>
    <row r="35" spans="1:9" ht="18" customHeight="1" x14ac:dyDescent="0.25">
      <c r="A35" s="49" t="s">
        <v>90</v>
      </c>
      <c r="B35" s="158" t="s">
        <v>2</v>
      </c>
      <c r="C35" s="158"/>
      <c r="D35" s="158"/>
      <c r="E35" s="158"/>
      <c r="F35" s="158"/>
      <c r="G35" s="158"/>
      <c r="H35" s="81">
        <v>1</v>
      </c>
    </row>
    <row r="36" spans="1:9" ht="16.5" customHeight="1" x14ac:dyDescent="0.25">
      <c r="A36" s="13" t="s">
        <v>34</v>
      </c>
      <c r="B36" s="167" t="s">
        <v>12</v>
      </c>
      <c r="C36" s="167"/>
      <c r="D36" s="167"/>
      <c r="E36" s="167"/>
      <c r="F36" s="167"/>
      <c r="G36" s="167"/>
      <c r="H36" s="114">
        <v>22</v>
      </c>
      <c r="I36" s="115"/>
    </row>
    <row r="37" spans="1:9" ht="18" customHeight="1" x14ac:dyDescent="0.25">
      <c r="A37" s="49" t="s">
        <v>35</v>
      </c>
      <c r="B37" s="168" t="s">
        <v>308</v>
      </c>
      <c r="C37" s="168"/>
      <c r="D37" s="168"/>
      <c r="E37" s="168"/>
      <c r="F37" s="168"/>
      <c r="G37" s="168"/>
      <c r="H37" s="116">
        <f>SUM(H9+H20+H28+H36)</f>
        <v>18601.400000000001</v>
      </c>
    </row>
    <row r="38" spans="1:9" ht="8.25" customHeight="1" x14ac:dyDescent="0.25">
      <c r="H38" s="6"/>
    </row>
    <row r="39" spans="1:9" x14ac:dyDescent="0.25">
      <c r="A39" s="95" t="s">
        <v>36</v>
      </c>
      <c r="B39" s="163" t="s">
        <v>456</v>
      </c>
      <c r="C39" s="164"/>
      <c r="D39" s="164"/>
      <c r="E39" s="164"/>
      <c r="F39" s="164"/>
      <c r="G39" s="165"/>
      <c r="H39" s="95">
        <f>SUM(H40:H44)</f>
        <v>1596.8000000000002</v>
      </c>
    </row>
    <row r="40" spans="1:9" x14ac:dyDescent="0.25">
      <c r="A40" s="49" t="s">
        <v>360</v>
      </c>
      <c r="B40" s="158" t="s">
        <v>433</v>
      </c>
      <c r="C40" s="158"/>
      <c r="D40" s="158"/>
      <c r="E40" s="158"/>
      <c r="F40" s="158"/>
      <c r="G40" s="158"/>
      <c r="H40" s="49">
        <v>1396.9</v>
      </c>
    </row>
    <row r="41" spans="1:9" x14ac:dyDescent="0.25">
      <c r="A41" s="49" t="s">
        <v>438</v>
      </c>
      <c r="B41" s="158" t="s">
        <v>434</v>
      </c>
      <c r="C41" s="158"/>
      <c r="D41" s="158"/>
      <c r="E41" s="158"/>
      <c r="F41" s="158"/>
      <c r="G41" s="158"/>
      <c r="H41" s="49">
        <v>43.8</v>
      </c>
    </row>
    <row r="42" spans="1:9" x14ac:dyDescent="0.25">
      <c r="A42" s="49" t="s">
        <v>439</v>
      </c>
      <c r="B42" s="158" t="s">
        <v>435</v>
      </c>
      <c r="C42" s="158"/>
      <c r="D42" s="158"/>
      <c r="E42" s="158"/>
      <c r="F42" s="158"/>
      <c r="G42" s="158"/>
      <c r="H42" s="49">
        <v>23.7</v>
      </c>
    </row>
    <row r="43" spans="1:9" x14ac:dyDescent="0.25">
      <c r="A43" s="49" t="s">
        <v>440</v>
      </c>
      <c r="B43" s="158" t="s">
        <v>436</v>
      </c>
      <c r="C43" s="158"/>
      <c r="D43" s="158"/>
      <c r="E43" s="158"/>
      <c r="F43" s="158"/>
      <c r="G43" s="158"/>
      <c r="H43" s="49">
        <v>104.9</v>
      </c>
    </row>
    <row r="44" spans="1:9" x14ac:dyDescent="0.25">
      <c r="A44" s="49" t="s">
        <v>441</v>
      </c>
      <c r="B44" s="158" t="s">
        <v>437</v>
      </c>
      <c r="C44" s="158"/>
      <c r="D44" s="158"/>
      <c r="E44" s="158"/>
      <c r="F44" s="158"/>
      <c r="G44" s="158"/>
      <c r="H44" s="49">
        <v>27.5</v>
      </c>
    </row>
    <row r="45" spans="1:9" x14ac:dyDescent="0.25">
      <c r="B45" s="175"/>
      <c r="C45" s="175"/>
      <c r="D45" s="175"/>
      <c r="E45" s="175"/>
      <c r="F45" s="175"/>
      <c r="G45" s="175"/>
    </row>
  </sheetData>
  <mergeCells count="43">
    <mergeCell ref="B45:G45"/>
    <mergeCell ref="B40:G40"/>
    <mergeCell ref="B41:G41"/>
    <mergeCell ref="B42:G42"/>
    <mergeCell ref="B43:G43"/>
    <mergeCell ref="B44:G44"/>
    <mergeCell ref="H29:H30"/>
    <mergeCell ref="B34:G34"/>
    <mergeCell ref="B27:G27"/>
    <mergeCell ref="B10:G10"/>
    <mergeCell ref="B25:G25"/>
    <mergeCell ref="B29:G29"/>
    <mergeCell ref="B15:G15"/>
    <mergeCell ref="B30:G30"/>
    <mergeCell ref="B33:G33"/>
    <mergeCell ref="B22:G22"/>
    <mergeCell ref="B23:G23"/>
    <mergeCell ref="B11:G11"/>
    <mergeCell ref="B32:G32"/>
    <mergeCell ref="B18:G18"/>
    <mergeCell ref="B28:G28"/>
    <mergeCell ref="B24:G24"/>
    <mergeCell ref="B39:G39"/>
    <mergeCell ref="B35:G35"/>
    <mergeCell ref="B36:G36"/>
    <mergeCell ref="B37:G37"/>
    <mergeCell ref="B31:G31"/>
    <mergeCell ref="B26:G26"/>
    <mergeCell ref="F1:H1"/>
    <mergeCell ref="F2:I2"/>
    <mergeCell ref="F3:G3"/>
    <mergeCell ref="B17:G17"/>
    <mergeCell ref="B6:H6"/>
    <mergeCell ref="B16:G16"/>
    <mergeCell ref="B8:G8"/>
    <mergeCell ref="B14:G14"/>
    <mergeCell ref="B7:H7"/>
    <mergeCell ref="B19:G19"/>
    <mergeCell ref="B9:G9"/>
    <mergeCell ref="B21:G21"/>
    <mergeCell ref="B13:G13"/>
    <mergeCell ref="B12:G12"/>
    <mergeCell ref="B20:G20"/>
  </mergeCells>
  <phoneticPr fontId="0" type="noConversion"/>
  <pageMargins left="0.55118110236220474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52"/>
  <sheetViews>
    <sheetView showZeros="0" workbookViewId="0">
      <selection activeCell="I16" sqref="I16"/>
    </sheetView>
  </sheetViews>
  <sheetFormatPr defaultRowHeight="12.75" x14ac:dyDescent="0.2"/>
  <cols>
    <col min="1" max="1" width="3.7109375" style="45" customWidth="1"/>
    <col min="2" max="2" width="39.140625" style="45" customWidth="1"/>
    <col min="3" max="3" width="10.85546875" style="45" customWidth="1"/>
    <col min="4" max="4" width="10.5703125" style="45" customWidth="1"/>
    <col min="5" max="5" width="11.140625" style="45" customWidth="1"/>
    <col min="6" max="6" width="12.140625" style="45" customWidth="1"/>
    <col min="7" max="7" width="9.140625" style="45"/>
    <col min="8" max="8" width="11.5703125" style="45" customWidth="1"/>
    <col min="9" max="16384" width="9.140625" style="45"/>
  </cols>
  <sheetData>
    <row r="1" spans="1:9" ht="17.25" customHeight="1" x14ac:dyDescent="0.25">
      <c r="A1" s="6"/>
      <c r="B1" s="6"/>
      <c r="C1" s="157" t="s">
        <v>73</v>
      </c>
      <c r="D1" s="157"/>
      <c r="E1" s="157"/>
      <c r="F1" s="157"/>
    </row>
    <row r="2" spans="1:9" ht="15.75" customHeight="1" x14ac:dyDescent="0.25">
      <c r="A2" s="6"/>
      <c r="B2" s="6"/>
      <c r="C2" s="157" t="s">
        <v>466</v>
      </c>
      <c r="D2" s="157"/>
      <c r="E2" s="157"/>
      <c r="F2" s="157"/>
    </row>
    <row r="3" spans="1:9" ht="15.75" customHeight="1" x14ac:dyDescent="0.25">
      <c r="A3" s="6"/>
      <c r="B3" s="6"/>
      <c r="C3" s="157" t="s">
        <v>338</v>
      </c>
      <c r="D3" s="157"/>
      <c r="E3" s="157"/>
      <c r="F3" s="157"/>
    </row>
    <row r="4" spans="1:9" ht="13.5" hidden="1" customHeight="1" x14ac:dyDescent="0.25">
      <c r="A4" s="6"/>
      <c r="B4" s="6"/>
      <c r="C4" s="7" t="s">
        <v>305</v>
      </c>
      <c r="D4" s="7"/>
      <c r="E4" s="7"/>
      <c r="F4" s="6"/>
    </row>
    <row r="5" spans="1:9" ht="14.25" hidden="1" customHeight="1" x14ac:dyDescent="0.25">
      <c r="A5" s="6"/>
      <c r="B5" s="6"/>
      <c r="C5" s="7" t="s">
        <v>301</v>
      </c>
      <c r="D5" s="7"/>
      <c r="E5" s="7"/>
      <c r="F5" s="6"/>
    </row>
    <row r="6" spans="1:9" ht="14.25" customHeight="1" x14ac:dyDescent="0.25">
      <c r="A6" s="6"/>
      <c r="B6" s="6"/>
      <c r="C6" s="141" t="s">
        <v>493</v>
      </c>
      <c r="D6" s="141"/>
      <c r="E6" s="110"/>
      <c r="F6" s="6"/>
    </row>
    <row r="7" spans="1:9" ht="14.25" customHeight="1" x14ac:dyDescent="0.25">
      <c r="A7" s="6"/>
      <c r="B7" s="6"/>
      <c r="C7" s="6" t="s">
        <v>301</v>
      </c>
      <c r="D7" s="7"/>
      <c r="E7" s="7"/>
      <c r="F7" s="6"/>
    </row>
    <row r="8" spans="1:9" ht="18" customHeight="1" x14ac:dyDescent="0.25">
      <c r="A8" s="159" t="s">
        <v>385</v>
      </c>
      <c r="B8" s="159"/>
      <c r="C8" s="159"/>
      <c r="D8" s="159"/>
      <c r="E8" s="159"/>
      <c r="F8" s="159"/>
    </row>
    <row r="9" spans="1:9" ht="17.25" customHeight="1" x14ac:dyDescent="0.25">
      <c r="A9" s="6"/>
      <c r="B9" s="159" t="s">
        <v>219</v>
      </c>
      <c r="C9" s="159"/>
      <c r="D9" s="159"/>
      <c r="E9" s="159"/>
      <c r="F9" s="159"/>
    </row>
    <row r="10" spans="1:9" ht="12.75" customHeight="1" x14ac:dyDescent="0.25">
      <c r="A10" s="6"/>
      <c r="B10" s="182" t="s">
        <v>461</v>
      </c>
      <c r="C10" s="182"/>
      <c r="D10" s="182"/>
      <c r="E10" s="182"/>
      <c r="F10" s="182"/>
    </row>
    <row r="11" spans="1:9" ht="13.5" customHeight="1" x14ac:dyDescent="0.2">
      <c r="A11" s="176" t="s">
        <v>54</v>
      </c>
      <c r="B11" s="176" t="s">
        <v>221</v>
      </c>
      <c r="C11" s="176" t="s">
        <v>115</v>
      </c>
      <c r="D11" s="179" t="s">
        <v>139</v>
      </c>
      <c r="E11" s="180"/>
      <c r="F11" s="181"/>
    </row>
    <row r="12" spans="1:9" ht="13.5" customHeight="1" x14ac:dyDescent="0.2">
      <c r="A12" s="177"/>
      <c r="B12" s="177"/>
      <c r="C12" s="177"/>
      <c r="D12" s="179" t="s">
        <v>100</v>
      </c>
      <c r="E12" s="181"/>
      <c r="F12" s="176" t="s">
        <v>291</v>
      </c>
    </row>
    <row r="13" spans="1:9" ht="12.75" customHeight="1" x14ac:dyDescent="0.2">
      <c r="A13" s="177"/>
      <c r="B13" s="177"/>
      <c r="C13" s="177"/>
      <c r="D13" s="176" t="s">
        <v>4</v>
      </c>
      <c r="E13" s="176" t="s">
        <v>101</v>
      </c>
      <c r="F13" s="177"/>
    </row>
    <row r="14" spans="1:9" ht="66" customHeight="1" x14ac:dyDescent="0.2">
      <c r="A14" s="178"/>
      <c r="B14" s="178"/>
      <c r="C14" s="178"/>
      <c r="D14" s="178"/>
      <c r="E14" s="178"/>
      <c r="F14" s="178"/>
    </row>
    <row r="15" spans="1:9" ht="13.5" customHeight="1" x14ac:dyDescent="0.25">
      <c r="A15" s="49" t="s">
        <v>31</v>
      </c>
      <c r="B15" s="144" t="s">
        <v>8</v>
      </c>
      <c r="C15" s="66">
        <f>SUM(D15,F15)</f>
        <v>10156.4</v>
      </c>
      <c r="D15" s="49">
        <f>SUM('sav.f. 3 '!G15,'sav.f. 3 '!G18:G23,'sav.f. 3 '!G25:G40,'sav.f. 3 '!G54:G57,AARP.6!J39,'sav.f. 3 '!G70:G75,'sav.f. 3 '!G77:G80,'sav.f. 3 '!G83:G85,'sav.f. 3 '!G101:G106,'sav.f. 3 '!G108:G121,'Valst.f. 4'!G16:G27,'Valst.f. 4'!G29:G36,'Valst.f. 4'!G50:G54,'Valst.f. 4'!G60:G62,'Valst.f. 4'!G65,'MK 5'!G28:G29,AARP.6!I39,Spec.7!G12,Spec.7!H12,'Valst.f. 4'!F59)-Spec.7!H13</f>
        <v>8157.9</v>
      </c>
      <c r="E15" s="148">
        <f>SUM('sav.f. 3 '!H15,'sav.f. 3 '!H18:H23,'sav.f. 3 '!H25:H40,'sav.f. 3 '!H54:H57,,'sav.f. 3 '!H70:H75,'sav.f. 3 '!H77:H80,'sav.f. 3 '!H83:H85,'sav.f. 3 '!H101:H106,'sav.f. 3 '!H108:H121,'Valst.f. 4'!H16:H27,'Valst.f. 4'!H29:H36,'Valst.f. 4'!H50:H54,'Valst.f. 4'!H60:H62,'Valst.f. 4'!H65,'MK 5'!H28:H29)</f>
        <v>1371.9999999999998</v>
      </c>
      <c r="F15" s="148">
        <f>SUM('sav.f. 3 '!I15,'sav.f. 3 '!I18:I23,'sav.f. 3 '!I25:I40,'sav.f. 3 '!I54:I57,,'sav.f. 3 '!I70:I75,'sav.f. 3 '!I77:I80,'sav.f. 3 '!I83:I85,'sav.f. 3 '!I101:I106,'sav.f. 3 '!I108:I121,'Valst.f. 4'!I16:I27,'Valst.f. 4'!I29:I36,'Valst.f. 4'!I50:I54,'Valst.f. 4'!I60:I62,'MK 5'!I28:I29,AARP.6!K39,Spec.7!H13)</f>
        <v>1998.5</v>
      </c>
      <c r="H15" s="117"/>
    </row>
    <row r="16" spans="1:9" ht="14.25" customHeight="1" x14ac:dyDescent="0.25">
      <c r="A16" s="49" t="s">
        <v>32</v>
      </c>
      <c r="B16" s="144" t="s">
        <v>176</v>
      </c>
      <c r="C16" s="56">
        <f>SUM(D16,F16)</f>
        <v>59.1</v>
      </c>
      <c r="D16" s="49">
        <f>SUM('sav.f. 3 '!G17)</f>
        <v>59.1</v>
      </c>
      <c r="E16" s="49">
        <f>SUM('sav.f. 3 '!H17)</f>
        <v>41.199999999999996</v>
      </c>
      <c r="F16" s="49">
        <f>SUM('sav.f. 3 '!I17)</f>
        <v>0</v>
      </c>
      <c r="H16" s="117"/>
      <c r="I16" s="118"/>
    </row>
    <row r="17" spans="1:8" ht="14.25" customHeight="1" x14ac:dyDescent="0.25">
      <c r="A17" s="49" t="s">
        <v>33</v>
      </c>
      <c r="B17" s="20" t="s">
        <v>316</v>
      </c>
      <c r="C17" s="56">
        <f>SUM(D17,F17)</f>
        <v>563.69999999999993</v>
      </c>
      <c r="D17" s="49">
        <f>SUM('sav.f. 3 '!G86+'Valst.f. 4'!G37+'MK 5'!G14+Spec.7!G15,Spec.7!H15)</f>
        <v>553.79999999999995</v>
      </c>
      <c r="E17" s="148">
        <f>SUM('sav.f. 3 '!H86+'Valst.f. 4'!H37+'MK 5'!H14)</f>
        <v>329.8</v>
      </c>
      <c r="F17" s="49">
        <f>'sav.f. 3 '!I86+'MK 5'!I14</f>
        <v>9.9</v>
      </c>
      <c r="H17" s="117"/>
    </row>
    <row r="18" spans="1:8" ht="14.25" customHeight="1" x14ac:dyDescent="0.25">
      <c r="A18" s="49" t="s">
        <v>34</v>
      </c>
      <c r="B18" s="144" t="s">
        <v>317</v>
      </c>
      <c r="C18" s="58">
        <f t="shared" ref="C18:C49" si="0">SUM(D18,F18)</f>
        <v>567.39999999999986</v>
      </c>
      <c r="D18" s="148">
        <f>SUM('sav.f. 3 '!G87+'Valst.f. 4'!G38+'MK 5'!G15+Spec.7!G16)</f>
        <v>556.09999999999991</v>
      </c>
      <c r="E18" s="148">
        <f>SUM('sav.f. 3 '!H87+'Valst.f. 4'!H38+'MK 5'!H15)</f>
        <v>330.7</v>
      </c>
      <c r="F18" s="49">
        <f>SUM('sav.f. 3 '!I87)+'MK 5'!I15</f>
        <v>11.3</v>
      </c>
      <c r="H18" s="117"/>
    </row>
    <row r="19" spans="1:8" ht="14.25" customHeight="1" x14ac:dyDescent="0.25">
      <c r="A19" s="49" t="s">
        <v>35</v>
      </c>
      <c r="B19" s="144" t="s">
        <v>318</v>
      </c>
      <c r="C19" s="58">
        <f t="shared" si="0"/>
        <v>54.6</v>
      </c>
      <c r="D19" s="148">
        <f>SUM('sav.f. 3 '!G88+'Valst.f. 4'!G39+'MK 5'!G16+Spec.7!G14,Spec.7!H14)</f>
        <v>54.6</v>
      </c>
      <c r="E19" s="148">
        <f>SUM('sav.f. 3 '!H88+'Valst.f. 4'!H39+'MK 5'!H16)</f>
        <v>34.200000000000003</v>
      </c>
      <c r="F19" s="49">
        <f>SUM('sav.f. 3 '!I88+'Valst.f. 4'!I39)</f>
        <v>0</v>
      </c>
      <c r="H19" s="117"/>
    </row>
    <row r="20" spans="1:8" ht="14.25" customHeight="1" x14ac:dyDescent="0.25">
      <c r="A20" s="49" t="s">
        <v>36</v>
      </c>
      <c r="B20" s="144" t="s">
        <v>319</v>
      </c>
      <c r="C20" s="56">
        <f t="shared" si="0"/>
        <v>295.79999999999995</v>
      </c>
      <c r="D20" s="49">
        <f>SUM('sav.f. 3 '!G89+'Valst.f. 4'!G40+'MK 5'!G17)</f>
        <v>292.89999999999998</v>
      </c>
      <c r="E20" s="148">
        <f>SUM('sav.f. 3 '!H89+'Valst.f. 4'!H40+'MK 5'!H17)</f>
        <v>185.29999999999998</v>
      </c>
      <c r="F20" s="49">
        <f>SUM('sav.f. 3 '!I89+'Valst.f. 4'!I40+'MK 5'!I17)</f>
        <v>2.9</v>
      </c>
      <c r="H20" s="117"/>
    </row>
    <row r="21" spans="1:8" ht="14.25" customHeight="1" x14ac:dyDescent="0.25">
      <c r="A21" s="49" t="s">
        <v>37</v>
      </c>
      <c r="B21" s="144" t="s">
        <v>320</v>
      </c>
      <c r="C21" s="56">
        <f t="shared" si="0"/>
        <v>1.1000000000000001</v>
      </c>
      <c r="D21" s="49">
        <f>SUM('sav.f. 3 '!G90)</f>
        <v>1.1000000000000001</v>
      </c>
      <c r="E21" s="49">
        <f>SUM('sav.f. 3 '!H90)</f>
        <v>0.7</v>
      </c>
      <c r="F21" s="49"/>
      <c r="H21" s="117"/>
    </row>
    <row r="22" spans="1:8" ht="14.25" customHeight="1" x14ac:dyDescent="0.25">
      <c r="A22" s="49" t="s">
        <v>38</v>
      </c>
      <c r="B22" s="144" t="s">
        <v>321</v>
      </c>
      <c r="C22" s="56">
        <f t="shared" si="0"/>
        <v>360.6</v>
      </c>
      <c r="D22" s="148">
        <f>SUM('sav.f. 3 '!G91+'Valst.f. 4'!G41+'MK 5'!G18,Spec.7!D27:F27)</f>
        <v>345.1</v>
      </c>
      <c r="E22" s="49">
        <f>SUM('sav.f. 3 '!H91+'Valst.f. 4'!H41+'MK 5'!H18)</f>
        <v>215.3</v>
      </c>
      <c r="F22" s="148">
        <f>SUM('sav.f. 3 '!I91+'Valst.f. 4'!I41+'MK 5'!I18)</f>
        <v>15.5</v>
      </c>
      <c r="H22" s="117"/>
    </row>
    <row r="23" spans="1:8" ht="14.25" customHeight="1" x14ac:dyDescent="0.25">
      <c r="A23" s="49" t="s">
        <v>39</v>
      </c>
      <c r="B23" s="22" t="s">
        <v>322</v>
      </c>
      <c r="C23" s="56">
        <f t="shared" si="0"/>
        <v>428.50000000000006</v>
      </c>
      <c r="D23" s="49">
        <f>SUM('sav.f. 3 '!G92+'Valst.f. 4'!G42+'MK 5'!G19+Spec.7!G24)</f>
        <v>374.50000000000006</v>
      </c>
      <c r="E23" s="148">
        <f>SUM('sav.f. 3 '!H92+'Valst.f. 4'!H42+'MK 5'!H19)</f>
        <v>208.2</v>
      </c>
      <c r="F23" s="148">
        <f>SUM('sav.f. 3 '!I92+'Valst.f. 4'!I42+'MK 5'!I19)</f>
        <v>54</v>
      </c>
      <c r="H23" s="117"/>
    </row>
    <row r="24" spans="1:8" ht="14.25" customHeight="1" x14ac:dyDescent="0.25">
      <c r="A24" s="49" t="s">
        <v>40</v>
      </c>
      <c r="B24" s="22" t="s">
        <v>323</v>
      </c>
      <c r="C24" s="56">
        <f t="shared" si="0"/>
        <v>250.89999999999998</v>
      </c>
      <c r="D24" s="49">
        <f>SUM('sav.f. 3 '!G93+'Valst.f. 4'!G43+'MK 5'!G20+Spec.7!G23)</f>
        <v>244.59999999999997</v>
      </c>
      <c r="E24" s="49">
        <f>SUM('sav.f. 3 '!H93+'Valst.f. 4'!H43+'MK 5'!H20)</f>
        <v>149</v>
      </c>
      <c r="F24" s="148">
        <f>SUM('sav.f. 3 '!I93+'Valst.f. 4'!I43+'MK 5'!I20)</f>
        <v>6.3</v>
      </c>
      <c r="H24" s="117"/>
    </row>
    <row r="25" spans="1:8" ht="14.25" customHeight="1" x14ac:dyDescent="0.25">
      <c r="A25" s="49" t="s">
        <v>41</v>
      </c>
      <c r="B25" s="22" t="s">
        <v>324</v>
      </c>
      <c r="C25" s="56">
        <f t="shared" si="0"/>
        <v>245.29999999999998</v>
      </c>
      <c r="D25" s="49">
        <f>SUM('sav.f. 3 '!G94+'Valst.f. 4'!G44+'MK 5'!G21)</f>
        <v>245.29999999999998</v>
      </c>
      <c r="E25" s="49">
        <f>SUM('sav.f. 3 '!H94+'Valst.f. 4'!H44+'MK 5'!H21)</f>
        <v>139.5</v>
      </c>
      <c r="F25" s="148">
        <f>SUM('sav.f. 3 '!I94+'Valst.f. 4'!I44+'MK 5'!I21)</f>
        <v>0</v>
      </c>
      <c r="H25" s="117"/>
    </row>
    <row r="26" spans="1:8" ht="14.25" customHeight="1" x14ac:dyDescent="0.25">
      <c r="A26" s="49" t="s">
        <v>42</v>
      </c>
      <c r="B26" s="1" t="s">
        <v>325</v>
      </c>
      <c r="C26" s="56">
        <f t="shared" si="0"/>
        <v>369.59999999999997</v>
      </c>
      <c r="D26" s="49">
        <f>SUM('sav.f. 3 '!G95+'Valst.f. 4'!G45+'MK 5'!G22+Spec.7!G21)</f>
        <v>362.4</v>
      </c>
      <c r="E26" s="49">
        <f>SUM('sav.f. 3 '!H95+'Valst.f. 4'!H45+'MK 5'!H22)</f>
        <v>231</v>
      </c>
      <c r="F26" s="148">
        <f>SUM('sav.f. 3 '!I95+'Valst.f. 4'!I45+'MK 5'!I22)</f>
        <v>7.2</v>
      </c>
      <c r="H26" s="117"/>
    </row>
    <row r="27" spans="1:8" ht="14.25" customHeight="1" x14ac:dyDescent="0.25">
      <c r="A27" s="49" t="s">
        <v>43</v>
      </c>
      <c r="B27" s="1" t="s">
        <v>326</v>
      </c>
      <c r="C27" s="58">
        <f t="shared" si="0"/>
        <v>399.59999999999991</v>
      </c>
      <c r="D27" s="148">
        <f>SUM('sav.f. 3 '!G96+'Valst.f. 4'!G46+'MK 5'!G23+Spec.7!G22)</f>
        <v>393.19999999999993</v>
      </c>
      <c r="E27" s="49">
        <f>SUM('sav.f. 3 '!H96+'Valst.f. 4'!H46+'MK 5'!H23)</f>
        <v>229.7</v>
      </c>
      <c r="F27" s="148">
        <f>SUM('sav.f. 3 '!I96+'Valst.f. 4'!I46+'MK 5'!I23)</f>
        <v>6.4</v>
      </c>
      <c r="H27" s="117"/>
    </row>
    <row r="28" spans="1:8" ht="14.25" customHeight="1" x14ac:dyDescent="0.25">
      <c r="A28" s="49" t="s">
        <v>44</v>
      </c>
      <c r="B28" s="6" t="s">
        <v>376</v>
      </c>
      <c r="C28" s="56">
        <f t="shared" si="0"/>
        <v>1060.5</v>
      </c>
      <c r="D28" s="49">
        <f>SUM('sav.f. 3 '!G97+'Valst.f. 4'!G47+'MK 5'!G24+Spec.7!G19,Spec.7!H19)</f>
        <v>918.4</v>
      </c>
      <c r="E28" s="49">
        <f>SUM('sav.f. 3 '!H97+'Valst.f. 4'!H47+'MK 5'!H24)</f>
        <v>551.5</v>
      </c>
      <c r="F28" s="148">
        <f>SUM('sav.f. 3 '!I97+'Valst.f. 4'!I47+'MK 5'!I24,'Valst.f. 4'!F63)</f>
        <v>142.1</v>
      </c>
      <c r="H28" s="117"/>
    </row>
    <row r="29" spans="1:8" ht="14.25" customHeight="1" x14ac:dyDescent="0.25">
      <c r="A29" s="49" t="s">
        <v>45</v>
      </c>
      <c r="B29" s="144" t="s">
        <v>327</v>
      </c>
      <c r="C29" s="56">
        <f t="shared" si="0"/>
        <v>1343.6000000000001</v>
      </c>
      <c r="D29" s="148">
        <f>SUM('sav.f. 3 '!G99,'Valst.f. 4'!G49,'MK 5'!G26,'Valst.f. 4'!G64,Spec.7!G17)</f>
        <v>1334.9</v>
      </c>
      <c r="E29" s="148">
        <f>SUM('sav.f. 3 '!H99,'Valst.f. 4'!H49,'MK 5'!H26,'Valst.f. 4'!H64)</f>
        <v>857.3</v>
      </c>
      <c r="F29" s="148">
        <f>SUM('sav.f. 3 '!I99,'Valst.f. 4'!I49,'MK 5'!I26,'Valst.f. 4'!I64)</f>
        <v>8.6999999999999993</v>
      </c>
      <c r="H29" s="117"/>
    </row>
    <row r="30" spans="1:8" ht="14.25" customHeight="1" x14ac:dyDescent="0.25">
      <c r="A30" s="49" t="s">
        <v>46</v>
      </c>
      <c r="B30" s="144" t="s">
        <v>328</v>
      </c>
      <c r="C30" s="56">
        <f t="shared" si="0"/>
        <v>710.9</v>
      </c>
      <c r="D30" s="49">
        <f>SUM('sav.f. 3 '!G98+'Valst.f. 4'!G48+'MK 5'!G25+Spec.7!G20)</f>
        <v>686.19999999999993</v>
      </c>
      <c r="E30" s="49">
        <f>SUM('sav.f. 3 '!H98+'Valst.f. 4'!H48+'MK 5'!H25)</f>
        <v>426.90000000000003</v>
      </c>
      <c r="F30" s="148">
        <f>SUM('sav.f. 3 '!I98+'Valst.f. 4'!I49+'MK 5'!I25)</f>
        <v>24.7</v>
      </c>
      <c r="H30" s="117"/>
    </row>
    <row r="31" spans="1:8" ht="14.25" customHeight="1" x14ac:dyDescent="0.25">
      <c r="A31" s="49" t="s">
        <v>47</v>
      </c>
      <c r="B31" s="144" t="s">
        <v>25</v>
      </c>
      <c r="C31" s="58">
        <f t="shared" si="0"/>
        <v>375.7</v>
      </c>
      <c r="D31" s="148">
        <f>SUM('sav.f. 3 '!G100,'MK 5'!G27:G27,Spec.7!G25,Spec.7!H25)-Spec.7!G26</f>
        <v>360.7</v>
      </c>
      <c r="E31" s="49">
        <f>SUM('sav.f. 3 '!H100+'MK 5'!H27)</f>
        <v>257.10000000000002</v>
      </c>
      <c r="F31" s="148">
        <f>SUM(Spec.7!G26)</f>
        <v>15</v>
      </c>
      <c r="H31" s="117"/>
    </row>
    <row r="32" spans="1:8" ht="14.25" customHeight="1" x14ac:dyDescent="0.25">
      <c r="A32" s="49" t="s">
        <v>48</v>
      </c>
      <c r="B32" s="144" t="s">
        <v>304</v>
      </c>
      <c r="C32" s="149">
        <f t="shared" si="0"/>
        <v>460.10000000000008</v>
      </c>
      <c r="D32" s="49">
        <f>SUM('sav.f. 3 '!G81+Spec.7!G32+'Valst.f. 4'!F57)</f>
        <v>457.2000000000001</v>
      </c>
      <c r="E32" s="49">
        <f>SUM('sav.f. 3 '!H81+'Valst.f. 4'!H57)</f>
        <v>284.5</v>
      </c>
      <c r="F32" s="148">
        <f>SUM('sav.f. 3 '!I81)</f>
        <v>2.9</v>
      </c>
      <c r="H32" s="117"/>
    </row>
    <row r="33" spans="1:9" ht="14.25" customHeight="1" x14ac:dyDescent="0.25">
      <c r="A33" s="49" t="s">
        <v>49</v>
      </c>
      <c r="B33" s="144" t="s">
        <v>18</v>
      </c>
      <c r="C33" s="58">
        <f t="shared" si="0"/>
        <v>101.3</v>
      </c>
      <c r="D33" s="148">
        <f>SUM('sav.f. 3 '!G82+'Valst.f. 4'!G58)</f>
        <v>97.8</v>
      </c>
      <c r="E33" s="148">
        <f>SUM('sav.f. 3 '!H82+'Valst.f. 4'!H58)</f>
        <v>56.600000000000009</v>
      </c>
      <c r="F33" s="148">
        <f>SUM('sav.f. 3 '!I82)</f>
        <v>3.5</v>
      </c>
      <c r="H33" s="117"/>
      <c r="I33" s="6"/>
    </row>
    <row r="34" spans="1:9" ht="14.25" customHeight="1" x14ac:dyDescent="0.25">
      <c r="A34" s="49" t="s">
        <v>51</v>
      </c>
      <c r="B34" s="144" t="s">
        <v>112</v>
      </c>
      <c r="C34" s="56">
        <f t="shared" si="0"/>
        <v>94.7</v>
      </c>
      <c r="D34" s="148">
        <f>SUM('sav.f. 3 '!G76,'Valst.f. 4'!G55:G56,Spec.7!G29)</f>
        <v>94.7</v>
      </c>
      <c r="E34" s="148">
        <f>SUM('sav.f. 3 '!H76,'Valst.f. 4'!H55:H56)</f>
        <v>60.5</v>
      </c>
      <c r="F34" s="119">
        <f>SUM('sav.f. 3 '!I76,'Valst.f. 4'!I55:I56)</f>
        <v>0</v>
      </c>
      <c r="H34" s="117"/>
    </row>
    <row r="35" spans="1:9" ht="14.25" customHeight="1" x14ac:dyDescent="0.25">
      <c r="A35" s="49" t="s">
        <v>52</v>
      </c>
      <c r="B35" s="144" t="s">
        <v>107</v>
      </c>
      <c r="C35" s="56">
        <f t="shared" si="0"/>
        <v>143.5</v>
      </c>
      <c r="D35" s="148">
        <f>SUM(Spec.7!G28,'sav.f. 3 '!G107,Spec.7!H28)</f>
        <v>143.5</v>
      </c>
      <c r="E35" s="148">
        <f>SUM('sav.f. 3 '!H107+'Valst.f. 4'!H50)</f>
        <v>79.400000000000006</v>
      </c>
      <c r="F35" s="148">
        <f>SUM('sav.f. 3 '!I107+'Valst.f. 4'!I50)</f>
        <v>0</v>
      </c>
      <c r="H35" s="117"/>
    </row>
    <row r="36" spans="1:9" ht="14.25" customHeight="1" x14ac:dyDescent="0.25">
      <c r="A36" s="49" t="s">
        <v>53</v>
      </c>
      <c r="B36" s="144" t="s">
        <v>207</v>
      </c>
      <c r="C36" s="56">
        <f t="shared" si="0"/>
        <v>3.8000000000000003</v>
      </c>
      <c r="D36" s="49">
        <f>SUM('sav.f. 3 '!G42+'sav.f. 3 '!G58)</f>
        <v>2.4000000000000004</v>
      </c>
      <c r="E36" s="49">
        <f>SUM('sav.f. 3 '!H42+'sav.f. 3 '!H58)</f>
        <v>0</v>
      </c>
      <c r="F36" s="148">
        <f>SUM('sav.f. 3 '!I42+'sav.f. 3 '!I58)</f>
        <v>1.4</v>
      </c>
      <c r="H36" s="117"/>
    </row>
    <row r="37" spans="1:9" ht="14.25" customHeight="1" x14ac:dyDescent="0.25">
      <c r="A37" s="49" t="s">
        <v>63</v>
      </c>
      <c r="B37" s="144" t="s">
        <v>208</v>
      </c>
      <c r="C37" s="56">
        <f t="shared" si="0"/>
        <v>8.2000000000000011</v>
      </c>
      <c r="D37" s="49">
        <f>SUM('sav.f. 3 '!G43+'sav.f. 3 '!G59)</f>
        <v>8.2000000000000011</v>
      </c>
      <c r="E37" s="49">
        <f>SUM('sav.f. 3 '!H43+'sav.f. 3 '!H59)</f>
        <v>0</v>
      </c>
      <c r="F37" s="148">
        <f>SUM('sav.f. 3 '!I43+'sav.f. 3 '!I59)</f>
        <v>0</v>
      </c>
      <c r="H37" s="117"/>
    </row>
    <row r="38" spans="1:9" ht="14.25" customHeight="1" x14ac:dyDescent="0.25">
      <c r="A38" s="49" t="s">
        <v>75</v>
      </c>
      <c r="B38" s="144" t="s">
        <v>209</v>
      </c>
      <c r="C38" s="56">
        <f t="shared" si="0"/>
        <v>9.4</v>
      </c>
      <c r="D38" s="49">
        <f>SUM('sav.f. 3 '!G44+'sav.f. 3 '!G60)</f>
        <v>9.4</v>
      </c>
      <c r="E38" s="49">
        <f>SUM('sav.f. 3 '!H44+'sav.f. 3 '!H60)</f>
        <v>0</v>
      </c>
      <c r="F38" s="148">
        <f>SUM('sav.f. 3 '!I44+'sav.f. 3 '!I60)</f>
        <v>0</v>
      </c>
      <c r="H38" s="117"/>
    </row>
    <row r="39" spans="1:9" ht="14.25" customHeight="1" x14ac:dyDescent="0.25">
      <c r="A39" s="49" t="s">
        <v>109</v>
      </c>
      <c r="B39" s="144" t="s">
        <v>210</v>
      </c>
      <c r="C39" s="56">
        <f t="shared" si="0"/>
        <v>5.8000000000000007</v>
      </c>
      <c r="D39" s="49">
        <f>SUM('sav.f. 3 '!G45+'sav.f. 3 '!G61)</f>
        <v>5.8000000000000007</v>
      </c>
      <c r="E39" s="49">
        <f>SUM('sav.f. 3 '!H45+'sav.f. 3 '!H61)</f>
        <v>0</v>
      </c>
      <c r="F39" s="148">
        <f>SUM('sav.f. 3 '!I45+'sav.f. 3 '!I61)</f>
        <v>0</v>
      </c>
      <c r="H39" s="117"/>
    </row>
    <row r="40" spans="1:9" ht="14.25" customHeight="1" x14ac:dyDescent="0.25">
      <c r="A40" s="49" t="s">
        <v>111</v>
      </c>
      <c r="B40" s="144" t="s">
        <v>220</v>
      </c>
      <c r="C40" s="149">
        <f t="shared" si="0"/>
        <v>83.4</v>
      </c>
      <c r="D40" s="49">
        <f>SUM('sav.f. 3 '!G46+'sav.f. 3 '!G62)</f>
        <v>81.2</v>
      </c>
      <c r="E40" s="49">
        <f>SUM('sav.f. 3 '!H46+'sav.f. 3 '!H62)</f>
        <v>0</v>
      </c>
      <c r="F40" s="148">
        <f>SUM('sav.f. 3 '!I46+'sav.f. 3 '!I62)</f>
        <v>2.2000000000000002</v>
      </c>
      <c r="H40" s="117"/>
    </row>
    <row r="41" spans="1:9" ht="14.25" customHeight="1" x14ac:dyDescent="0.25">
      <c r="A41" s="49" t="s">
        <v>222</v>
      </c>
      <c r="B41" s="144" t="s">
        <v>211</v>
      </c>
      <c r="C41" s="56">
        <f t="shared" si="0"/>
        <v>10.5</v>
      </c>
      <c r="D41" s="49">
        <f>SUM('sav.f. 3 '!G47+'sav.f. 3 '!G63)</f>
        <v>9.8000000000000007</v>
      </c>
      <c r="E41" s="49">
        <f>SUM('sav.f. 3 '!H47+'sav.f. 3 '!H63)</f>
        <v>0</v>
      </c>
      <c r="F41" s="148">
        <f>SUM('sav.f. 3 '!I47+'sav.f. 3 '!I63)</f>
        <v>0.7</v>
      </c>
      <c r="H41" s="117"/>
    </row>
    <row r="42" spans="1:9" ht="14.25" customHeight="1" x14ac:dyDescent="0.25">
      <c r="A42" s="49" t="s">
        <v>128</v>
      </c>
      <c r="B42" s="144" t="s">
        <v>212</v>
      </c>
      <c r="C42" s="56">
        <f t="shared" si="0"/>
        <v>3.8</v>
      </c>
      <c r="D42" s="49">
        <f>SUM('sav.f. 3 '!G48+'sav.f. 3 '!G64)</f>
        <v>3.8</v>
      </c>
      <c r="E42" s="49">
        <f>SUM('sav.f. 3 '!H48+'sav.f. 3 '!H64)</f>
        <v>0</v>
      </c>
      <c r="F42" s="148">
        <f>SUM('sav.f. 3 '!I48+'sav.f. 3 '!I64)</f>
        <v>0</v>
      </c>
      <c r="H42" s="117"/>
    </row>
    <row r="43" spans="1:9" ht="14.25" customHeight="1" x14ac:dyDescent="0.25">
      <c r="A43" s="49" t="s">
        <v>129</v>
      </c>
      <c r="B43" s="144" t="s">
        <v>213</v>
      </c>
      <c r="C43" s="56">
        <f t="shared" si="0"/>
        <v>17.700000000000003</v>
      </c>
      <c r="D43" s="49">
        <f>SUM('sav.f. 3 '!G49+'sav.f. 3 '!G65)</f>
        <v>17.100000000000001</v>
      </c>
      <c r="E43" s="49">
        <f>SUM('sav.f. 3 '!H49+'sav.f. 3 '!H65)</f>
        <v>0</v>
      </c>
      <c r="F43" s="148">
        <f>SUM('sav.f. 3 '!I49+'sav.f. 3 '!I65)</f>
        <v>0.6</v>
      </c>
      <c r="H43" s="117"/>
    </row>
    <row r="44" spans="1:9" ht="14.25" customHeight="1" x14ac:dyDescent="0.25">
      <c r="A44" s="49" t="s">
        <v>130</v>
      </c>
      <c r="B44" s="144" t="s">
        <v>214</v>
      </c>
      <c r="C44" s="56">
        <f t="shared" si="0"/>
        <v>3.3</v>
      </c>
      <c r="D44" s="49">
        <f>SUM('sav.f. 3 '!G50+'sav.f. 3 '!G66)</f>
        <v>3.3</v>
      </c>
      <c r="E44" s="49">
        <f>SUM('sav.f. 3 '!H50+'sav.f. 3 '!H66)</f>
        <v>0</v>
      </c>
      <c r="F44" s="148">
        <f>SUM('sav.f. 3 '!I50+'sav.f. 3 '!I66)</f>
        <v>0</v>
      </c>
      <c r="H44" s="117"/>
    </row>
    <row r="45" spans="1:9" ht="14.25" customHeight="1" x14ac:dyDescent="0.25">
      <c r="A45" s="49" t="s">
        <v>131</v>
      </c>
      <c r="B45" s="144" t="s">
        <v>215</v>
      </c>
      <c r="C45" s="56">
        <f t="shared" si="0"/>
        <v>7.1999999999999993</v>
      </c>
      <c r="D45" s="49">
        <f>SUM('sav.f. 3 '!G51+'sav.f. 3 '!G67)</f>
        <v>6.3999999999999995</v>
      </c>
      <c r="E45" s="49">
        <f>SUM('sav.f. 3 '!H51+'sav.f. 3 '!H67)</f>
        <v>0</v>
      </c>
      <c r="F45" s="148">
        <f>SUM('sav.f. 3 '!I51+'sav.f. 3 '!I67)</f>
        <v>0.8</v>
      </c>
      <c r="H45" s="117"/>
    </row>
    <row r="46" spans="1:9" ht="14.25" customHeight="1" x14ac:dyDescent="0.25">
      <c r="A46" s="49" t="s">
        <v>132</v>
      </c>
      <c r="B46" s="144" t="s">
        <v>216</v>
      </c>
      <c r="C46" s="56">
        <f t="shared" si="0"/>
        <v>7.5</v>
      </c>
      <c r="D46" s="49">
        <f>SUM('sav.f. 3 '!G52+'sav.f. 3 '!G68)</f>
        <v>7.5</v>
      </c>
      <c r="E46" s="49">
        <f>SUM('sav.f. 3 '!H52+'sav.f. 3 '!H68)</f>
        <v>0</v>
      </c>
      <c r="F46" s="148">
        <f>SUM('sav.f. 3 '!I52+'sav.f. 3 '!I68)</f>
        <v>0</v>
      </c>
      <c r="H46" s="117"/>
    </row>
    <row r="47" spans="1:9" ht="14.25" customHeight="1" x14ac:dyDescent="0.25">
      <c r="A47" s="49" t="s">
        <v>133</v>
      </c>
      <c r="B47" s="144" t="s">
        <v>217</v>
      </c>
      <c r="C47" s="58">
        <f>SUM(D47,F47)</f>
        <v>51</v>
      </c>
      <c r="D47" s="148">
        <f>SUM('sav.f. 3 '!G53+'sav.f. 3 '!G69)</f>
        <v>45.7</v>
      </c>
      <c r="E47" s="49">
        <f>SUM('sav.f. 3 '!H53+'sav.f. 3 '!H69)</f>
        <v>0</v>
      </c>
      <c r="F47" s="148">
        <f>SUM('sav.f. 3 '!I53+'sav.f. 3 '!I69)</f>
        <v>5.3</v>
      </c>
      <c r="H47" s="117"/>
    </row>
    <row r="48" spans="1:9" ht="14.25" customHeight="1" x14ac:dyDescent="0.25">
      <c r="A48" s="49" t="s">
        <v>134</v>
      </c>
      <c r="B48" s="144" t="s">
        <v>395</v>
      </c>
      <c r="C48" s="56">
        <f>SUM(D48,F48)</f>
        <v>507.8</v>
      </c>
      <c r="D48" s="56">
        <f>SUM('Valst.f. 4'!G28)</f>
        <v>497.8</v>
      </c>
      <c r="E48" s="58">
        <f>SUM('Valst.f. 4'!H28)</f>
        <v>304</v>
      </c>
      <c r="F48" s="148">
        <f>'sav.f. 3 '!I122</f>
        <v>10</v>
      </c>
      <c r="H48" s="117"/>
    </row>
    <row r="49" spans="1:8" ht="15.75" customHeight="1" x14ac:dyDescent="0.25">
      <c r="A49" s="49" t="s">
        <v>135</v>
      </c>
      <c r="B49" s="144" t="s">
        <v>302</v>
      </c>
      <c r="C49" s="58">
        <f t="shared" si="0"/>
        <v>90.7</v>
      </c>
      <c r="D49" s="148">
        <f>SUM('sav.f. 3 '!G24)</f>
        <v>90.7</v>
      </c>
      <c r="E49" s="49">
        <f>SUM('sav.f. 3 '!H24)</f>
        <v>0</v>
      </c>
      <c r="F49" s="148">
        <f>SUM('sav.f. 3 '!I24)</f>
        <v>0</v>
      </c>
      <c r="H49" s="117"/>
    </row>
    <row r="50" spans="1:8" ht="21.75" customHeight="1" x14ac:dyDescent="0.25">
      <c r="A50" s="49" t="s">
        <v>136</v>
      </c>
      <c r="B50" s="153" t="s">
        <v>180</v>
      </c>
      <c r="C50" s="150">
        <f>SUM(C15:C49)</f>
        <v>18853.000000000004</v>
      </c>
      <c r="D50" s="150">
        <f>SUM(D15:D49)</f>
        <v>16523.100000000002</v>
      </c>
      <c r="E50" s="150">
        <f>SUM(E15:E49)</f>
        <v>6344.4</v>
      </c>
      <c r="F50" s="150">
        <f>SUM(F15:F49)</f>
        <v>2329.9</v>
      </c>
      <c r="H50" s="117"/>
    </row>
    <row r="51" spans="1:8" ht="13.5" customHeight="1" x14ac:dyDescent="0.2">
      <c r="A51" s="120"/>
      <c r="B51" s="120"/>
      <c r="C51" s="120"/>
      <c r="D51" s="120"/>
      <c r="E51" s="120"/>
      <c r="F51" s="120"/>
    </row>
    <row r="52" spans="1:8" ht="15" x14ac:dyDescent="0.2">
      <c r="A52" s="120"/>
      <c r="B52" s="120"/>
      <c r="C52" s="120"/>
      <c r="D52" s="120"/>
      <c r="E52" s="120"/>
      <c r="F52" s="120"/>
    </row>
  </sheetData>
  <mergeCells count="14">
    <mergeCell ref="A8:F8"/>
    <mergeCell ref="B9:F9"/>
    <mergeCell ref="B10:F10"/>
    <mergeCell ref="C1:F1"/>
    <mergeCell ref="C2:F2"/>
    <mergeCell ref="C3:F3"/>
    <mergeCell ref="A11:A14"/>
    <mergeCell ref="B11:B14"/>
    <mergeCell ref="C11:C14"/>
    <mergeCell ref="D11:F11"/>
    <mergeCell ref="D12:E12"/>
    <mergeCell ref="F12:F14"/>
    <mergeCell ref="D13:D14"/>
    <mergeCell ref="E13:E14"/>
  </mergeCells>
  <phoneticPr fontId="8" type="noConversion"/>
  <pageMargins left="0.31496062992125984" right="0.31496062992125984" top="0.15748031496062992" bottom="0.15748031496062992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125"/>
  <sheetViews>
    <sheetView topLeftCell="A9" workbookViewId="0">
      <selection activeCell="E76" sqref="E76"/>
    </sheetView>
  </sheetViews>
  <sheetFormatPr defaultColWidth="9.140625" defaultRowHeight="15.75" x14ac:dyDescent="0.25"/>
  <cols>
    <col min="1" max="1" width="5.7109375" style="6" customWidth="1"/>
    <col min="2" max="2" width="5.42578125" style="6" customWidth="1"/>
    <col min="3" max="3" width="5.85546875" style="6" customWidth="1"/>
    <col min="4" max="4" width="28.5703125" style="6" customWidth="1"/>
    <col min="5" max="5" width="44.7109375" style="6" customWidth="1"/>
    <col min="6" max="6" width="10.5703125" style="6" customWidth="1"/>
    <col min="7" max="7" width="9.42578125" style="6" customWidth="1"/>
    <col min="8" max="8" width="10.140625" style="6" customWidth="1"/>
    <col min="9" max="9" width="11.5703125" style="6" customWidth="1"/>
    <col min="10" max="14" width="9.140625" style="6"/>
    <col min="15" max="15" width="10.140625" style="6" bestFit="1" customWidth="1"/>
    <col min="16" max="16384" width="9.140625" style="6"/>
  </cols>
  <sheetData>
    <row r="1" spans="1:12" x14ac:dyDescent="0.25">
      <c r="E1" s="141"/>
      <c r="F1" s="141" t="s">
        <v>73</v>
      </c>
      <c r="G1" s="141"/>
      <c r="H1" s="141"/>
    </row>
    <row r="2" spans="1:12" x14ac:dyDescent="0.25">
      <c r="E2" s="141"/>
      <c r="F2" s="157" t="s">
        <v>466</v>
      </c>
      <c r="G2" s="157"/>
      <c r="H2" s="157"/>
      <c r="I2" s="157"/>
    </row>
    <row r="3" spans="1:12" ht="17.25" customHeight="1" x14ac:dyDescent="0.25">
      <c r="E3" s="141"/>
      <c r="F3" s="141" t="s">
        <v>341</v>
      </c>
      <c r="G3" s="141"/>
      <c r="H3" s="141"/>
    </row>
    <row r="4" spans="1:12" ht="12.75" hidden="1" customHeight="1" x14ac:dyDescent="0.25">
      <c r="E4" s="141"/>
      <c r="F4" s="141" t="s">
        <v>332</v>
      </c>
      <c r="G4" s="7"/>
      <c r="H4" s="7"/>
    </row>
    <row r="5" spans="1:12" ht="14.25" hidden="1" customHeight="1" x14ac:dyDescent="0.25">
      <c r="E5" s="141"/>
      <c r="F5" s="7" t="s">
        <v>301</v>
      </c>
      <c r="G5" s="7"/>
      <c r="H5" s="7"/>
    </row>
    <row r="6" spans="1:12" ht="14.25" customHeight="1" x14ac:dyDescent="0.25">
      <c r="E6" s="141"/>
      <c r="F6" s="141" t="s">
        <v>492</v>
      </c>
      <c r="G6" s="141"/>
      <c r="H6" s="110"/>
    </row>
    <row r="7" spans="1:12" ht="14.25" customHeight="1" x14ac:dyDescent="0.25">
      <c r="E7" s="141"/>
      <c r="F7" s="6" t="s">
        <v>301</v>
      </c>
      <c r="G7" s="7"/>
      <c r="H7" s="7"/>
    </row>
    <row r="8" spans="1:12" ht="16.5" customHeight="1" x14ac:dyDescent="0.25">
      <c r="D8" s="184" t="s">
        <v>408</v>
      </c>
      <c r="E8" s="184"/>
      <c r="F8" s="184"/>
      <c r="G8" s="184"/>
      <c r="H8" s="184"/>
      <c r="I8" s="184"/>
    </row>
    <row r="9" spans="1:12" ht="16.5" customHeight="1" x14ac:dyDescent="0.25">
      <c r="D9" s="185" t="s">
        <v>278</v>
      </c>
      <c r="E9" s="185"/>
      <c r="F9" s="185"/>
      <c r="G9" s="185"/>
      <c r="H9" s="185"/>
      <c r="I9" s="185"/>
    </row>
    <row r="10" spans="1:12" ht="13.5" customHeight="1" x14ac:dyDescent="0.25">
      <c r="D10" s="186" t="s">
        <v>462</v>
      </c>
      <c r="E10" s="186"/>
      <c r="F10" s="186"/>
      <c r="G10" s="186"/>
      <c r="H10" s="186"/>
      <c r="I10" s="186"/>
    </row>
    <row r="11" spans="1:12" ht="15" customHeight="1" x14ac:dyDescent="0.25">
      <c r="A11" s="176" t="s">
        <v>54</v>
      </c>
      <c r="B11" s="176" t="s">
        <v>140</v>
      </c>
      <c r="C11" s="176" t="s">
        <v>141</v>
      </c>
      <c r="D11" s="183" t="s">
        <v>204</v>
      </c>
      <c r="E11" s="183" t="s">
        <v>390</v>
      </c>
      <c r="F11" s="176" t="s">
        <v>303</v>
      </c>
      <c r="G11" s="183" t="s">
        <v>139</v>
      </c>
      <c r="H11" s="183"/>
      <c r="I11" s="183"/>
    </row>
    <row r="12" spans="1:12" ht="15" customHeight="1" x14ac:dyDescent="0.25">
      <c r="A12" s="177"/>
      <c r="B12" s="177"/>
      <c r="C12" s="177"/>
      <c r="D12" s="183"/>
      <c r="E12" s="183"/>
      <c r="F12" s="177"/>
      <c r="G12" s="183" t="s">
        <v>100</v>
      </c>
      <c r="H12" s="183"/>
      <c r="I12" s="176" t="s">
        <v>291</v>
      </c>
    </row>
    <row r="13" spans="1:12" ht="9.75" customHeight="1" x14ac:dyDescent="0.25">
      <c r="A13" s="177"/>
      <c r="B13" s="177"/>
      <c r="C13" s="177"/>
      <c r="D13" s="183"/>
      <c r="E13" s="183"/>
      <c r="F13" s="177"/>
      <c r="G13" s="183" t="s">
        <v>4</v>
      </c>
      <c r="H13" s="183" t="s">
        <v>101</v>
      </c>
      <c r="I13" s="177"/>
    </row>
    <row r="14" spans="1:12" ht="70.5" customHeight="1" x14ac:dyDescent="0.25">
      <c r="A14" s="178"/>
      <c r="B14" s="178"/>
      <c r="C14" s="178"/>
      <c r="D14" s="183"/>
      <c r="E14" s="183"/>
      <c r="F14" s="178"/>
      <c r="G14" s="183"/>
      <c r="H14" s="183"/>
      <c r="I14" s="178"/>
    </row>
    <row r="15" spans="1:12" ht="17.25" customHeight="1" x14ac:dyDescent="0.25">
      <c r="A15" s="49" t="s">
        <v>31</v>
      </c>
      <c r="B15" s="49" t="s">
        <v>116</v>
      </c>
      <c r="C15" s="49" t="s">
        <v>116</v>
      </c>
      <c r="D15" s="144" t="s">
        <v>8</v>
      </c>
      <c r="E15" s="5" t="s">
        <v>175</v>
      </c>
      <c r="F15" s="149">
        <f t="shared" ref="F15:F47" si="0">SUM(G15+I15)</f>
        <v>177.2</v>
      </c>
      <c r="G15" s="49">
        <f>173.6+2.9+0.7</f>
        <v>177.2</v>
      </c>
      <c r="H15" s="49">
        <f>85.8+2.3+0.5</f>
        <v>88.6</v>
      </c>
      <c r="I15" s="49"/>
    </row>
    <row r="16" spans="1:12" ht="17.25" customHeight="1" x14ac:dyDescent="0.25">
      <c r="A16" s="49" t="s">
        <v>55</v>
      </c>
      <c r="B16" s="49"/>
      <c r="C16" s="49"/>
      <c r="D16" s="9"/>
      <c r="E16" s="4" t="s">
        <v>309</v>
      </c>
      <c r="F16" s="149">
        <f t="shared" si="0"/>
        <v>8.8000000000000007</v>
      </c>
      <c r="G16" s="49">
        <v>8.8000000000000007</v>
      </c>
      <c r="H16" s="49"/>
      <c r="I16" s="49"/>
      <c r="L16" s="51"/>
    </row>
    <row r="17" spans="1:15" ht="30.75" customHeight="1" x14ac:dyDescent="0.25">
      <c r="A17" s="49" t="s">
        <v>32</v>
      </c>
      <c r="B17" s="49" t="s">
        <v>116</v>
      </c>
      <c r="C17" s="49" t="s">
        <v>116</v>
      </c>
      <c r="D17" s="9" t="s">
        <v>176</v>
      </c>
      <c r="E17" s="4" t="s">
        <v>202</v>
      </c>
      <c r="F17" s="56">
        <f t="shared" si="0"/>
        <v>59.1</v>
      </c>
      <c r="G17" s="49">
        <f>58.2+0.9</f>
        <v>59.1</v>
      </c>
      <c r="H17" s="49">
        <f>41.3-0.1</f>
        <v>41.199999999999996</v>
      </c>
      <c r="I17" s="49"/>
      <c r="O17" s="51"/>
    </row>
    <row r="18" spans="1:15" ht="17.25" customHeight="1" x14ac:dyDescent="0.25">
      <c r="A18" s="49" t="s">
        <v>33</v>
      </c>
      <c r="B18" s="49" t="s">
        <v>116</v>
      </c>
      <c r="C18" s="49" t="s">
        <v>116</v>
      </c>
      <c r="D18" s="144" t="s">
        <v>8</v>
      </c>
      <c r="E18" s="5" t="s">
        <v>203</v>
      </c>
      <c r="F18" s="66">
        <f t="shared" si="0"/>
        <v>1474.5</v>
      </c>
      <c r="G18" s="148">
        <f>1543.1+7.2-2.2-37.5+0.1-67.6</f>
        <v>1443.1</v>
      </c>
      <c r="H18" s="49">
        <f>788.2+5.5-20</f>
        <v>773.7</v>
      </c>
      <c r="I18" s="148">
        <f>11+2.2+18.2</f>
        <v>31.4</v>
      </c>
      <c r="O18" s="51"/>
    </row>
    <row r="19" spans="1:15" ht="21.75" customHeight="1" x14ac:dyDescent="0.25">
      <c r="A19" s="86" t="s">
        <v>34</v>
      </c>
      <c r="B19" s="49" t="s">
        <v>116</v>
      </c>
      <c r="C19" s="49" t="s">
        <v>116</v>
      </c>
      <c r="D19" s="144" t="s">
        <v>8</v>
      </c>
      <c r="E19" s="151" t="s">
        <v>170</v>
      </c>
      <c r="F19" s="66">
        <f t="shared" si="0"/>
        <v>7.6</v>
      </c>
      <c r="G19" s="148">
        <f>7+0.6</f>
        <v>7.6</v>
      </c>
      <c r="H19" s="49">
        <f>5.4+0.4</f>
        <v>5.8000000000000007</v>
      </c>
      <c r="I19" s="49"/>
      <c r="O19" s="51"/>
    </row>
    <row r="20" spans="1:15" ht="17.25" customHeight="1" x14ac:dyDescent="0.25">
      <c r="A20" s="49" t="s">
        <v>35</v>
      </c>
      <c r="B20" s="49" t="s">
        <v>116</v>
      </c>
      <c r="C20" s="49" t="s">
        <v>116</v>
      </c>
      <c r="D20" s="144" t="s">
        <v>8</v>
      </c>
      <c r="E20" s="5" t="s">
        <v>119</v>
      </c>
      <c r="F20" s="66">
        <f t="shared" si="0"/>
        <v>10.299999999999999</v>
      </c>
      <c r="G20" s="148">
        <f>10.2+0.1</f>
        <v>10.299999999999999</v>
      </c>
      <c r="H20" s="49">
        <f>7.8+0.1</f>
        <v>7.8999999999999995</v>
      </c>
      <c r="I20" s="49"/>
      <c r="O20" s="51"/>
    </row>
    <row r="21" spans="1:15" ht="17.25" customHeight="1" x14ac:dyDescent="0.25">
      <c r="A21" s="49" t="s">
        <v>36</v>
      </c>
      <c r="B21" s="49" t="s">
        <v>116</v>
      </c>
      <c r="C21" s="49" t="s">
        <v>116</v>
      </c>
      <c r="D21" s="144" t="s">
        <v>8</v>
      </c>
      <c r="E21" s="10" t="s">
        <v>310</v>
      </c>
      <c r="F21" s="66">
        <f t="shared" si="0"/>
        <v>9.1000000000000014</v>
      </c>
      <c r="G21" s="148">
        <f>8.8+0.3</f>
        <v>9.1000000000000014</v>
      </c>
      <c r="H21" s="148">
        <f>6.7+0.2</f>
        <v>6.9</v>
      </c>
      <c r="I21" s="57"/>
      <c r="O21" s="51"/>
    </row>
    <row r="22" spans="1:15" ht="17.25" customHeight="1" x14ac:dyDescent="0.25">
      <c r="A22" s="57" t="s">
        <v>37</v>
      </c>
      <c r="B22" s="49" t="s">
        <v>116</v>
      </c>
      <c r="C22" s="49" t="s">
        <v>116</v>
      </c>
      <c r="D22" s="144" t="s">
        <v>8</v>
      </c>
      <c r="E22" s="10" t="s">
        <v>21</v>
      </c>
      <c r="F22" s="66">
        <f t="shared" si="0"/>
        <v>5</v>
      </c>
      <c r="G22" s="148">
        <v>5</v>
      </c>
      <c r="H22" s="49"/>
      <c r="I22" s="57"/>
      <c r="O22" s="51"/>
    </row>
    <row r="23" spans="1:15" ht="17.25" customHeight="1" x14ac:dyDescent="0.25">
      <c r="A23" s="49" t="s">
        <v>38</v>
      </c>
      <c r="B23" s="49" t="s">
        <v>116</v>
      </c>
      <c r="C23" s="49" t="s">
        <v>116</v>
      </c>
      <c r="D23" s="144" t="s">
        <v>8</v>
      </c>
      <c r="E23" s="10" t="s">
        <v>23</v>
      </c>
      <c r="F23" s="66">
        <f t="shared" si="0"/>
        <v>242.5</v>
      </c>
      <c r="G23" s="148">
        <v>242.5</v>
      </c>
      <c r="H23" s="49"/>
      <c r="I23" s="49"/>
      <c r="O23" s="51"/>
    </row>
    <row r="24" spans="1:15" ht="30.75" customHeight="1" x14ac:dyDescent="0.25">
      <c r="A24" s="149" t="s">
        <v>39</v>
      </c>
      <c r="B24" s="49" t="s">
        <v>116</v>
      </c>
      <c r="C24" s="49" t="s">
        <v>116</v>
      </c>
      <c r="D24" s="11" t="s">
        <v>283</v>
      </c>
      <c r="E24" s="12" t="s">
        <v>337</v>
      </c>
      <c r="F24" s="66">
        <f t="shared" si="0"/>
        <v>90.7</v>
      </c>
      <c r="G24" s="148">
        <f>102-11.3</f>
        <v>90.7</v>
      </c>
      <c r="H24" s="49"/>
      <c r="I24" s="49"/>
    </row>
    <row r="25" spans="1:15" ht="17.25" customHeight="1" x14ac:dyDescent="0.25">
      <c r="A25" s="149" t="s">
        <v>40</v>
      </c>
      <c r="B25" s="149" t="s">
        <v>148</v>
      </c>
      <c r="C25" s="49" t="s">
        <v>116</v>
      </c>
      <c r="D25" s="144" t="s">
        <v>8</v>
      </c>
      <c r="E25" s="9" t="s">
        <v>405</v>
      </c>
      <c r="F25" s="66">
        <f t="shared" si="0"/>
        <v>3.5</v>
      </c>
      <c r="G25" s="49">
        <v>3.5</v>
      </c>
      <c r="H25" s="49"/>
      <c r="I25" s="49"/>
    </row>
    <row r="26" spans="1:15" ht="17.25" customHeight="1" x14ac:dyDescent="0.25">
      <c r="A26" s="149" t="s">
        <v>41</v>
      </c>
      <c r="B26" s="149" t="s">
        <v>148</v>
      </c>
      <c r="C26" s="49" t="s">
        <v>116</v>
      </c>
      <c r="D26" s="144" t="s">
        <v>8</v>
      </c>
      <c r="E26" s="9" t="s">
        <v>426</v>
      </c>
      <c r="F26" s="66">
        <f t="shared" si="0"/>
        <v>17.399999999999999</v>
      </c>
      <c r="G26" s="49">
        <v>17.399999999999999</v>
      </c>
      <c r="H26" s="49"/>
      <c r="I26" s="49"/>
    </row>
    <row r="27" spans="1:15" ht="18" customHeight="1" x14ac:dyDescent="0.25">
      <c r="A27" s="49" t="s">
        <v>42</v>
      </c>
      <c r="B27" s="149" t="s">
        <v>148</v>
      </c>
      <c r="C27" s="13" t="s">
        <v>116</v>
      </c>
      <c r="D27" s="14" t="s">
        <v>8</v>
      </c>
      <c r="E27" s="15" t="s">
        <v>406</v>
      </c>
      <c r="F27" s="66">
        <f t="shared" si="0"/>
        <v>2.5</v>
      </c>
      <c r="G27" s="13">
        <v>2.5</v>
      </c>
      <c r="H27" s="49"/>
      <c r="I27" s="13"/>
    </row>
    <row r="28" spans="1:15" ht="15.75" customHeight="1" x14ac:dyDescent="0.25">
      <c r="A28" s="49" t="s">
        <v>43</v>
      </c>
      <c r="B28" s="149" t="s">
        <v>45</v>
      </c>
      <c r="C28" s="49" t="s">
        <v>116</v>
      </c>
      <c r="D28" s="144" t="s">
        <v>8</v>
      </c>
      <c r="E28" s="16" t="s">
        <v>312</v>
      </c>
      <c r="F28" s="66">
        <f t="shared" si="0"/>
        <v>7</v>
      </c>
      <c r="G28" s="148">
        <v>7</v>
      </c>
      <c r="H28" s="49"/>
      <c r="I28" s="49"/>
    </row>
    <row r="29" spans="1:15" ht="15.75" customHeight="1" x14ac:dyDescent="0.25">
      <c r="A29" s="49" t="s">
        <v>44</v>
      </c>
      <c r="B29" s="49" t="s">
        <v>145</v>
      </c>
      <c r="C29" s="49" t="s">
        <v>145</v>
      </c>
      <c r="D29" s="144" t="s">
        <v>8</v>
      </c>
      <c r="E29" s="144" t="s">
        <v>110</v>
      </c>
      <c r="F29" s="66">
        <f t="shared" si="0"/>
        <v>3</v>
      </c>
      <c r="G29" s="148">
        <v>3</v>
      </c>
      <c r="H29" s="49"/>
      <c r="I29" s="49"/>
    </row>
    <row r="30" spans="1:15" ht="15.75" customHeight="1" x14ac:dyDescent="0.25">
      <c r="A30" s="49" t="s">
        <v>45</v>
      </c>
      <c r="B30" s="149" t="s">
        <v>145</v>
      </c>
      <c r="C30" s="49" t="s">
        <v>145</v>
      </c>
      <c r="D30" s="144" t="s">
        <v>8</v>
      </c>
      <c r="E30" s="152" t="s">
        <v>181</v>
      </c>
      <c r="F30" s="66">
        <f t="shared" si="0"/>
        <v>18</v>
      </c>
      <c r="G30" s="148">
        <v>18</v>
      </c>
      <c r="H30" s="49"/>
      <c r="I30" s="49"/>
    </row>
    <row r="31" spans="1:15" ht="15.75" customHeight="1" x14ac:dyDescent="0.25">
      <c r="A31" s="49" t="s">
        <v>46</v>
      </c>
      <c r="B31" s="49" t="s">
        <v>150</v>
      </c>
      <c r="C31" s="49" t="s">
        <v>145</v>
      </c>
      <c r="D31" s="144" t="s">
        <v>8</v>
      </c>
      <c r="E31" s="1" t="s">
        <v>484</v>
      </c>
      <c r="F31" s="66">
        <f>SUM(G31+I31)</f>
        <v>2</v>
      </c>
      <c r="G31" s="148">
        <v>2</v>
      </c>
      <c r="H31" s="49"/>
      <c r="I31" s="148"/>
    </row>
    <row r="32" spans="1:15" ht="15.75" customHeight="1" x14ac:dyDescent="0.25">
      <c r="A32" s="49" t="s">
        <v>47</v>
      </c>
      <c r="B32" s="49" t="s">
        <v>149</v>
      </c>
      <c r="C32" s="49" t="s">
        <v>149</v>
      </c>
      <c r="D32" s="144" t="s">
        <v>8</v>
      </c>
      <c r="E32" s="1" t="s">
        <v>65</v>
      </c>
      <c r="F32" s="66">
        <f t="shared" si="0"/>
        <v>62.4</v>
      </c>
      <c r="G32" s="148">
        <v>62.4</v>
      </c>
      <c r="H32" s="49"/>
      <c r="I32" s="49"/>
    </row>
    <row r="33" spans="1:9" ht="15.75" customHeight="1" x14ac:dyDescent="0.25">
      <c r="A33" s="49" t="s">
        <v>48</v>
      </c>
      <c r="B33" s="49" t="s">
        <v>149</v>
      </c>
      <c r="C33" s="49" t="s">
        <v>149</v>
      </c>
      <c r="D33" s="144" t="s">
        <v>8</v>
      </c>
      <c r="E33" s="1" t="s">
        <v>382</v>
      </c>
      <c r="F33" s="66">
        <f t="shared" si="0"/>
        <v>30</v>
      </c>
      <c r="G33" s="148">
        <v>30</v>
      </c>
      <c r="H33" s="49"/>
      <c r="I33" s="49"/>
    </row>
    <row r="34" spans="1:9" ht="15.75" customHeight="1" x14ac:dyDescent="0.25">
      <c r="A34" s="49" t="s">
        <v>49</v>
      </c>
      <c r="B34" s="49" t="s">
        <v>149</v>
      </c>
      <c r="C34" s="49" t="s">
        <v>149</v>
      </c>
      <c r="D34" s="144" t="s">
        <v>8</v>
      </c>
      <c r="E34" s="1" t="s">
        <v>299</v>
      </c>
      <c r="F34" s="66">
        <f t="shared" si="0"/>
        <v>18</v>
      </c>
      <c r="G34" s="148">
        <v>18</v>
      </c>
      <c r="H34" s="49"/>
      <c r="I34" s="143"/>
    </row>
    <row r="35" spans="1:9" ht="15.75" customHeight="1" x14ac:dyDescent="0.25">
      <c r="A35" s="49" t="s">
        <v>50</v>
      </c>
      <c r="B35" s="49" t="s">
        <v>149</v>
      </c>
      <c r="C35" s="49" t="s">
        <v>149</v>
      </c>
      <c r="D35" s="144" t="s">
        <v>8</v>
      </c>
      <c r="E35" s="1" t="s">
        <v>22</v>
      </c>
      <c r="F35" s="66">
        <f t="shared" si="0"/>
        <v>73.3</v>
      </c>
      <c r="G35" s="148">
        <f>70+5-1.7</f>
        <v>73.3</v>
      </c>
      <c r="H35" s="49"/>
      <c r="I35" s="143"/>
    </row>
    <row r="36" spans="1:9" ht="15.75" customHeight="1" x14ac:dyDescent="0.25">
      <c r="A36" s="49" t="s">
        <v>51</v>
      </c>
      <c r="B36" s="49" t="s">
        <v>150</v>
      </c>
      <c r="C36" s="49" t="s">
        <v>149</v>
      </c>
      <c r="D36" s="144" t="s">
        <v>8</v>
      </c>
      <c r="E36" s="10" t="s">
        <v>393</v>
      </c>
      <c r="F36" s="66">
        <f t="shared" si="0"/>
        <v>25.5</v>
      </c>
      <c r="G36" s="148"/>
      <c r="H36" s="49"/>
      <c r="I36" s="49">
        <v>25.5</v>
      </c>
    </row>
    <row r="37" spans="1:9" ht="15.75" customHeight="1" x14ac:dyDescent="0.25">
      <c r="A37" s="49" t="s">
        <v>52</v>
      </c>
      <c r="B37" s="49" t="s">
        <v>153</v>
      </c>
      <c r="C37" s="49" t="s">
        <v>149</v>
      </c>
      <c r="D37" s="144" t="s">
        <v>8</v>
      </c>
      <c r="E37" s="10" t="s">
        <v>142</v>
      </c>
      <c r="F37" s="66">
        <f t="shared" si="0"/>
        <v>23.4</v>
      </c>
      <c r="G37" s="148">
        <f>25-1.6</f>
        <v>23.4</v>
      </c>
      <c r="H37" s="49"/>
      <c r="I37" s="143"/>
    </row>
    <row r="38" spans="1:9" ht="15.75" customHeight="1" x14ac:dyDescent="0.25">
      <c r="A38" s="49" t="s">
        <v>53</v>
      </c>
      <c r="B38" s="49" t="s">
        <v>151</v>
      </c>
      <c r="C38" s="49" t="s">
        <v>149</v>
      </c>
      <c r="D38" s="144" t="s">
        <v>8</v>
      </c>
      <c r="E38" s="10" t="s">
        <v>122</v>
      </c>
      <c r="F38" s="66">
        <f t="shared" si="0"/>
        <v>5</v>
      </c>
      <c r="G38" s="148">
        <v>5</v>
      </c>
      <c r="H38" s="49"/>
      <c r="I38" s="143"/>
    </row>
    <row r="39" spans="1:9" ht="15.75" customHeight="1" x14ac:dyDescent="0.25">
      <c r="A39" s="49" t="s">
        <v>63</v>
      </c>
      <c r="B39" s="49" t="s">
        <v>40</v>
      </c>
      <c r="C39" s="49" t="s">
        <v>149</v>
      </c>
      <c r="D39" s="144" t="s">
        <v>8</v>
      </c>
      <c r="E39" s="1" t="s">
        <v>16</v>
      </c>
      <c r="F39" s="66">
        <f t="shared" si="0"/>
        <v>169</v>
      </c>
      <c r="G39" s="148">
        <f>386+63.5-28-50-230.5-33.8</f>
        <v>107.2</v>
      </c>
      <c r="H39" s="49"/>
      <c r="I39" s="148">
        <f>100-11.2-27</f>
        <v>61.8</v>
      </c>
    </row>
    <row r="40" spans="1:9" ht="14.25" customHeight="1" x14ac:dyDescent="0.25">
      <c r="A40" s="49" t="s">
        <v>75</v>
      </c>
      <c r="B40" s="49" t="s">
        <v>150</v>
      </c>
      <c r="C40" s="49" t="s">
        <v>153</v>
      </c>
      <c r="D40" s="144" t="s">
        <v>8</v>
      </c>
      <c r="E40" s="140" t="s">
        <v>105</v>
      </c>
      <c r="F40" s="66">
        <f t="shared" si="0"/>
        <v>738.3</v>
      </c>
      <c r="G40" s="148">
        <f>597.5+104.9+2.9+1.9</f>
        <v>707.19999999999993</v>
      </c>
      <c r="H40" s="148">
        <f>48.2+2.2+1.6</f>
        <v>52.000000000000007</v>
      </c>
      <c r="I40" s="148">
        <f>30+1.1</f>
        <v>31.1</v>
      </c>
    </row>
    <row r="41" spans="1:9" ht="14.25" customHeight="1" x14ac:dyDescent="0.25">
      <c r="A41" s="87" t="s">
        <v>490</v>
      </c>
      <c r="B41" s="49" t="s">
        <v>150</v>
      </c>
      <c r="C41" s="49" t="s">
        <v>153</v>
      </c>
      <c r="D41" s="144" t="s">
        <v>8</v>
      </c>
      <c r="E41" s="140" t="s">
        <v>335</v>
      </c>
      <c r="F41" s="66">
        <f t="shared" si="0"/>
        <v>604.9</v>
      </c>
      <c r="G41" s="148">
        <f>500+104.9</f>
        <v>604.9</v>
      </c>
      <c r="H41" s="49"/>
      <c r="I41" s="49"/>
    </row>
    <row r="42" spans="1:9" ht="14.25" customHeight="1" x14ac:dyDescent="0.25">
      <c r="A42" s="49" t="s">
        <v>109</v>
      </c>
      <c r="B42" s="49" t="s">
        <v>150</v>
      </c>
      <c r="C42" s="49" t="s">
        <v>153</v>
      </c>
      <c r="D42" s="144" t="s">
        <v>207</v>
      </c>
      <c r="E42" s="140" t="s">
        <v>105</v>
      </c>
      <c r="F42" s="58">
        <f t="shared" si="0"/>
        <v>3</v>
      </c>
      <c r="G42" s="49">
        <f>2.5-0.9</f>
        <v>1.6</v>
      </c>
      <c r="H42" s="49"/>
      <c r="I42" s="49">
        <v>1.4</v>
      </c>
    </row>
    <row r="43" spans="1:9" ht="14.25" customHeight="1" x14ac:dyDescent="0.25">
      <c r="A43" s="49" t="s">
        <v>111</v>
      </c>
      <c r="B43" s="49" t="s">
        <v>150</v>
      </c>
      <c r="C43" s="49" t="s">
        <v>153</v>
      </c>
      <c r="D43" s="144" t="s">
        <v>208</v>
      </c>
      <c r="E43" s="140" t="s">
        <v>105</v>
      </c>
      <c r="F43" s="56">
        <f t="shared" si="0"/>
        <v>4.7</v>
      </c>
      <c r="G43" s="49">
        <f>5.5-0.6-0.2</f>
        <v>4.7</v>
      </c>
      <c r="H43" s="49"/>
      <c r="I43" s="49"/>
    </row>
    <row r="44" spans="1:9" ht="14.25" customHeight="1" x14ac:dyDescent="0.25">
      <c r="A44" s="49" t="s">
        <v>222</v>
      </c>
      <c r="B44" s="49" t="s">
        <v>150</v>
      </c>
      <c r="C44" s="49" t="s">
        <v>153</v>
      </c>
      <c r="D44" s="144" t="s">
        <v>209</v>
      </c>
      <c r="E44" s="140" t="s">
        <v>105</v>
      </c>
      <c r="F44" s="56">
        <f t="shared" si="0"/>
        <v>3.5</v>
      </c>
      <c r="G44" s="49">
        <v>3.5</v>
      </c>
      <c r="H44" s="49"/>
      <c r="I44" s="49"/>
    </row>
    <row r="45" spans="1:9" ht="14.25" customHeight="1" x14ac:dyDescent="0.25">
      <c r="A45" s="49" t="s">
        <v>128</v>
      </c>
      <c r="B45" s="49" t="s">
        <v>150</v>
      </c>
      <c r="C45" s="49" t="s">
        <v>153</v>
      </c>
      <c r="D45" s="144" t="s">
        <v>210</v>
      </c>
      <c r="E45" s="140" t="s">
        <v>105</v>
      </c>
      <c r="F45" s="56">
        <f t="shared" si="0"/>
        <v>3.6</v>
      </c>
      <c r="G45" s="49">
        <v>3.6</v>
      </c>
      <c r="H45" s="49"/>
      <c r="I45" s="49"/>
    </row>
    <row r="46" spans="1:9" ht="14.25" customHeight="1" x14ac:dyDescent="0.25">
      <c r="A46" s="49" t="s">
        <v>129</v>
      </c>
      <c r="B46" s="49" t="s">
        <v>150</v>
      </c>
      <c r="C46" s="49" t="s">
        <v>153</v>
      </c>
      <c r="D46" s="144" t="s">
        <v>220</v>
      </c>
      <c r="E46" s="140" t="s">
        <v>105</v>
      </c>
      <c r="F46" s="149">
        <f t="shared" si="0"/>
        <v>43.300000000000004</v>
      </c>
      <c r="G46" s="49">
        <f>44.4-0.8-0.6-0.8-0.5-0.6</f>
        <v>41.1</v>
      </c>
      <c r="H46" s="49"/>
      <c r="I46" s="148">
        <f>0.8+0.6+0.8</f>
        <v>2.2000000000000002</v>
      </c>
    </row>
    <row r="47" spans="1:9" ht="14.25" customHeight="1" x14ac:dyDescent="0.25">
      <c r="A47" s="49" t="s">
        <v>130</v>
      </c>
      <c r="B47" s="49" t="s">
        <v>150</v>
      </c>
      <c r="C47" s="49" t="s">
        <v>153</v>
      </c>
      <c r="D47" s="144" t="s">
        <v>211</v>
      </c>
      <c r="E47" s="140" t="s">
        <v>105</v>
      </c>
      <c r="F47" s="58">
        <f t="shared" si="0"/>
        <v>5.7</v>
      </c>
      <c r="G47" s="148">
        <f>6-0.7-0.1-0.2</f>
        <v>5</v>
      </c>
      <c r="H47" s="49"/>
      <c r="I47" s="49">
        <v>0.7</v>
      </c>
    </row>
    <row r="48" spans="1:9" ht="14.25" customHeight="1" x14ac:dyDescent="0.25">
      <c r="A48" s="49" t="s">
        <v>131</v>
      </c>
      <c r="B48" s="49" t="s">
        <v>150</v>
      </c>
      <c r="C48" s="49" t="s">
        <v>153</v>
      </c>
      <c r="D48" s="144" t="s">
        <v>212</v>
      </c>
      <c r="E48" s="140" t="s">
        <v>105</v>
      </c>
      <c r="F48" s="58">
        <f t="shared" ref="F48:F75" si="1">SUM(G48+I48)</f>
        <v>2.2999999999999998</v>
      </c>
      <c r="G48" s="148">
        <f>2.5-0.2</f>
        <v>2.2999999999999998</v>
      </c>
      <c r="H48" s="49"/>
      <c r="I48" s="49"/>
    </row>
    <row r="49" spans="1:9" ht="14.25" customHeight="1" x14ac:dyDescent="0.25">
      <c r="A49" s="49" t="s">
        <v>132</v>
      </c>
      <c r="B49" s="49" t="s">
        <v>150</v>
      </c>
      <c r="C49" s="49" t="s">
        <v>153</v>
      </c>
      <c r="D49" s="144" t="s">
        <v>213</v>
      </c>
      <c r="E49" s="140" t="s">
        <v>105</v>
      </c>
      <c r="F49" s="58">
        <f t="shared" si="1"/>
        <v>10.1</v>
      </c>
      <c r="G49" s="148">
        <f>9+0.5</f>
        <v>9.5</v>
      </c>
      <c r="H49" s="49"/>
      <c r="I49" s="49">
        <v>0.6</v>
      </c>
    </row>
    <row r="50" spans="1:9" ht="14.25" customHeight="1" x14ac:dyDescent="0.25">
      <c r="A50" s="49" t="s">
        <v>133</v>
      </c>
      <c r="B50" s="49" t="s">
        <v>150</v>
      </c>
      <c r="C50" s="49" t="s">
        <v>153</v>
      </c>
      <c r="D50" s="144" t="s">
        <v>214</v>
      </c>
      <c r="E50" s="140" t="s">
        <v>105</v>
      </c>
      <c r="F50" s="56">
        <f t="shared" si="1"/>
        <v>2.4</v>
      </c>
      <c r="G50" s="49">
        <f>2.5-0.1</f>
        <v>2.4</v>
      </c>
      <c r="H50" s="49"/>
      <c r="I50" s="49"/>
    </row>
    <row r="51" spans="1:9" ht="14.25" customHeight="1" x14ac:dyDescent="0.25">
      <c r="A51" s="49" t="s">
        <v>134</v>
      </c>
      <c r="B51" s="49" t="s">
        <v>150</v>
      </c>
      <c r="C51" s="49" t="s">
        <v>153</v>
      </c>
      <c r="D51" s="144" t="s">
        <v>215</v>
      </c>
      <c r="E51" s="140" t="s">
        <v>105</v>
      </c>
      <c r="F51" s="56">
        <f t="shared" si="1"/>
        <v>2.0999999999999996</v>
      </c>
      <c r="G51" s="49">
        <f>2.5-0.8-0.3-0.1</f>
        <v>1.2999999999999998</v>
      </c>
      <c r="H51" s="49"/>
      <c r="I51" s="49">
        <v>0.8</v>
      </c>
    </row>
    <row r="52" spans="1:9" ht="14.25" customHeight="1" x14ac:dyDescent="0.25">
      <c r="A52" s="49" t="s">
        <v>135</v>
      </c>
      <c r="B52" s="49" t="s">
        <v>150</v>
      </c>
      <c r="C52" s="49" t="s">
        <v>153</v>
      </c>
      <c r="D52" s="144" t="s">
        <v>216</v>
      </c>
      <c r="E52" s="140" t="s">
        <v>105</v>
      </c>
      <c r="F52" s="58">
        <f t="shared" si="1"/>
        <v>5</v>
      </c>
      <c r="G52" s="148">
        <f>4.5+0.5</f>
        <v>5</v>
      </c>
      <c r="H52" s="49"/>
      <c r="I52" s="49"/>
    </row>
    <row r="53" spans="1:9" ht="14.25" customHeight="1" x14ac:dyDescent="0.25">
      <c r="A53" s="49" t="s">
        <v>136</v>
      </c>
      <c r="B53" s="49" t="s">
        <v>150</v>
      </c>
      <c r="C53" s="49" t="s">
        <v>153</v>
      </c>
      <c r="D53" s="144" t="s">
        <v>217</v>
      </c>
      <c r="E53" s="140" t="s">
        <v>105</v>
      </c>
      <c r="F53" s="56">
        <f>SUM(G53+I53)</f>
        <v>31.500000000000004</v>
      </c>
      <c r="G53" s="49">
        <f>31.5-0.7-4.6</f>
        <v>26.200000000000003</v>
      </c>
      <c r="H53" s="49"/>
      <c r="I53" s="49">
        <f>0.7+4.6</f>
        <v>5.3</v>
      </c>
    </row>
    <row r="54" spans="1:9" ht="14.25" customHeight="1" x14ac:dyDescent="0.25">
      <c r="A54" s="49" t="s">
        <v>137</v>
      </c>
      <c r="B54" s="49" t="s">
        <v>41</v>
      </c>
      <c r="C54" s="49" t="s">
        <v>151</v>
      </c>
      <c r="D54" s="144" t="s">
        <v>8</v>
      </c>
      <c r="E54" s="142" t="s">
        <v>24</v>
      </c>
      <c r="F54" s="58">
        <f t="shared" si="1"/>
        <v>3</v>
      </c>
      <c r="G54" s="148">
        <v>3</v>
      </c>
      <c r="H54" s="49"/>
      <c r="I54" s="49"/>
    </row>
    <row r="55" spans="1:9" ht="15" customHeight="1" x14ac:dyDescent="0.25">
      <c r="A55" s="49" t="s">
        <v>162</v>
      </c>
      <c r="B55" s="49" t="s">
        <v>150</v>
      </c>
      <c r="C55" s="49" t="s">
        <v>151</v>
      </c>
      <c r="D55" s="144" t="s">
        <v>8</v>
      </c>
      <c r="E55" s="142" t="s">
        <v>15</v>
      </c>
      <c r="F55" s="58">
        <f t="shared" si="1"/>
        <v>15.2</v>
      </c>
      <c r="G55" s="148">
        <f>5+5.2+5</f>
        <v>15.2</v>
      </c>
      <c r="H55" s="49"/>
      <c r="I55" s="49"/>
    </row>
    <row r="56" spans="1:9" ht="15" customHeight="1" x14ac:dyDescent="0.25">
      <c r="A56" s="49" t="s">
        <v>163</v>
      </c>
      <c r="B56" s="49" t="s">
        <v>150</v>
      </c>
      <c r="C56" s="49" t="s">
        <v>151</v>
      </c>
      <c r="D56" s="144" t="s">
        <v>8</v>
      </c>
      <c r="E56" s="140" t="s">
        <v>480</v>
      </c>
      <c r="F56" s="58">
        <f t="shared" si="1"/>
        <v>19.799999999999997</v>
      </c>
      <c r="G56" s="148">
        <f>8.6+11.2</f>
        <v>19.799999999999997</v>
      </c>
      <c r="H56" s="49"/>
      <c r="I56" s="49"/>
    </row>
    <row r="57" spans="1:9" ht="15.75" customHeight="1" x14ac:dyDescent="0.25">
      <c r="A57" s="49" t="s">
        <v>164</v>
      </c>
      <c r="B57" s="49" t="s">
        <v>150</v>
      </c>
      <c r="C57" s="49" t="s">
        <v>151</v>
      </c>
      <c r="D57" s="144" t="s">
        <v>8</v>
      </c>
      <c r="E57" s="140" t="s">
        <v>5</v>
      </c>
      <c r="F57" s="58">
        <f t="shared" si="1"/>
        <v>30</v>
      </c>
      <c r="G57" s="148">
        <v>12.2</v>
      </c>
      <c r="H57" s="49"/>
      <c r="I57" s="49">
        <v>17.8</v>
      </c>
    </row>
    <row r="58" spans="1:9" ht="15.75" customHeight="1" x14ac:dyDescent="0.25">
      <c r="A58" s="49" t="s">
        <v>165</v>
      </c>
      <c r="B58" s="49" t="s">
        <v>150</v>
      </c>
      <c r="C58" s="49" t="s">
        <v>151</v>
      </c>
      <c r="D58" s="144" t="s">
        <v>207</v>
      </c>
      <c r="E58" s="140" t="s">
        <v>5</v>
      </c>
      <c r="F58" s="56">
        <f t="shared" si="1"/>
        <v>0.8</v>
      </c>
      <c r="G58" s="49">
        <f>1.3-0.5</f>
        <v>0.8</v>
      </c>
      <c r="H58" s="49"/>
      <c r="I58" s="49"/>
    </row>
    <row r="59" spans="1:9" ht="15.75" customHeight="1" x14ac:dyDescent="0.25">
      <c r="A59" s="49" t="s">
        <v>166</v>
      </c>
      <c r="B59" s="49" t="s">
        <v>150</v>
      </c>
      <c r="C59" s="49" t="s">
        <v>151</v>
      </c>
      <c r="D59" s="144" t="s">
        <v>208</v>
      </c>
      <c r="E59" s="140" t="s">
        <v>5</v>
      </c>
      <c r="F59" s="56">
        <f t="shared" si="1"/>
        <v>3.5000000000000004</v>
      </c>
      <c r="G59" s="49">
        <f>2.7+0.6+0.2</f>
        <v>3.5000000000000004</v>
      </c>
      <c r="H59" s="49"/>
      <c r="I59" s="49"/>
    </row>
    <row r="60" spans="1:9" ht="15.75" customHeight="1" x14ac:dyDescent="0.25">
      <c r="A60" s="49" t="s">
        <v>223</v>
      </c>
      <c r="B60" s="49" t="s">
        <v>150</v>
      </c>
      <c r="C60" s="49" t="s">
        <v>151</v>
      </c>
      <c r="D60" s="144" t="s">
        <v>209</v>
      </c>
      <c r="E60" s="140" t="s">
        <v>5</v>
      </c>
      <c r="F60" s="56">
        <f t="shared" si="1"/>
        <v>5.9</v>
      </c>
      <c r="G60" s="49">
        <v>5.9</v>
      </c>
      <c r="H60" s="49"/>
      <c r="I60" s="49"/>
    </row>
    <row r="61" spans="1:9" ht="15.75" customHeight="1" x14ac:dyDescent="0.25">
      <c r="A61" s="49" t="s">
        <v>224</v>
      </c>
      <c r="B61" s="49" t="s">
        <v>150</v>
      </c>
      <c r="C61" s="49" t="s">
        <v>151</v>
      </c>
      <c r="D61" s="144" t="s">
        <v>210</v>
      </c>
      <c r="E61" s="142" t="s">
        <v>5</v>
      </c>
      <c r="F61" s="49">
        <f t="shared" si="1"/>
        <v>2.2000000000000002</v>
      </c>
      <c r="G61" s="49">
        <v>2.2000000000000002</v>
      </c>
      <c r="H61" s="49"/>
      <c r="I61" s="49"/>
    </row>
    <row r="62" spans="1:9" ht="14.25" customHeight="1" x14ac:dyDescent="0.25">
      <c r="A62" s="49" t="s">
        <v>225</v>
      </c>
      <c r="B62" s="49" t="s">
        <v>150</v>
      </c>
      <c r="C62" s="49" t="s">
        <v>151</v>
      </c>
      <c r="D62" s="144" t="s">
        <v>220</v>
      </c>
      <c r="E62" s="142" t="s">
        <v>5</v>
      </c>
      <c r="F62" s="148">
        <f t="shared" si="1"/>
        <v>40.1</v>
      </c>
      <c r="G62" s="148">
        <f>39+0.5+0.6</f>
        <v>40.1</v>
      </c>
      <c r="H62" s="49"/>
      <c r="I62" s="49"/>
    </row>
    <row r="63" spans="1:9" ht="15.75" customHeight="1" x14ac:dyDescent="0.25">
      <c r="A63" s="49" t="s">
        <v>226</v>
      </c>
      <c r="B63" s="49" t="s">
        <v>150</v>
      </c>
      <c r="C63" s="49" t="s">
        <v>151</v>
      </c>
      <c r="D63" s="144" t="s">
        <v>211</v>
      </c>
      <c r="E63" s="140" t="s">
        <v>5</v>
      </c>
      <c r="F63" s="148">
        <f t="shared" si="1"/>
        <v>4.8</v>
      </c>
      <c r="G63" s="148">
        <f>4.5+0.1+0.2</f>
        <v>4.8</v>
      </c>
      <c r="H63" s="49"/>
      <c r="I63" s="49"/>
    </row>
    <row r="64" spans="1:9" ht="15.75" customHeight="1" x14ac:dyDescent="0.25">
      <c r="A64" s="49" t="s">
        <v>227</v>
      </c>
      <c r="B64" s="49" t="s">
        <v>150</v>
      </c>
      <c r="C64" s="49" t="s">
        <v>151</v>
      </c>
      <c r="D64" s="144" t="s">
        <v>212</v>
      </c>
      <c r="E64" s="140" t="s">
        <v>5</v>
      </c>
      <c r="F64" s="66">
        <f t="shared" si="1"/>
        <v>1.5</v>
      </c>
      <c r="G64" s="148">
        <f>1.3+0.2</f>
        <v>1.5</v>
      </c>
      <c r="H64" s="49"/>
      <c r="I64" s="49"/>
    </row>
    <row r="65" spans="1:9" ht="15.75" customHeight="1" x14ac:dyDescent="0.25">
      <c r="A65" s="49" t="s">
        <v>228</v>
      </c>
      <c r="B65" s="49" t="s">
        <v>150</v>
      </c>
      <c r="C65" s="49" t="s">
        <v>151</v>
      </c>
      <c r="D65" s="144" t="s">
        <v>213</v>
      </c>
      <c r="E65" s="140" t="s">
        <v>5</v>
      </c>
      <c r="F65" s="66">
        <f t="shared" si="1"/>
        <v>7.6</v>
      </c>
      <c r="G65" s="148">
        <f>8.1-0.5</f>
        <v>7.6</v>
      </c>
      <c r="H65" s="49"/>
      <c r="I65" s="49"/>
    </row>
    <row r="66" spans="1:9" ht="15.75" customHeight="1" x14ac:dyDescent="0.25">
      <c r="A66" s="49" t="s">
        <v>229</v>
      </c>
      <c r="B66" s="49" t="s">
        <v>150</v>
      </c>
      <c r="C66" s="49" t="s">
        <v>151</v>
      </c>
      <c r="D66" s="144" t="s">
        <v>214</v>
      </c>
      <c r="E66" s="140" t="s">
        <v>5</v>
      </c>
      <c r="F66" s="66">
        <f t="shared" si="1"/>
        <v>0.9</v>
      </c>
      <c r="G66" s="148">
        <f>0.8+0.1</f>
        <v>0.9</v>
      </c>
      <c r="H66" s="49"/>
      <c r="I66" s="49"/>
    </row>
    <row r="67" spans="1:9" ht="15.75" customHeight="1" x14ac:dyDescent="0.25">
      <c r="A67" s="49" t="s">
        <v>230</v>
      </c>
      <c r="B67" s="49" t="s">
        <v>150</v>
      </c>
      <c r="C67" s="49" t="s">
        <v>151</v>
      </c>
      <c r="D67" s="144" t="s">
        <v>215</v>
      </c>
      <c r="E67" s="140" t="s">
        <v>5</v>
      </c>
      <c r="F67" s="66">
        <f t="shared" si="1"/>
        <v>5.0999999999999996</v>
      </c>
      <c r="G67" s="148">
        <f>4.7+0.3+0.1</f>
        <v>5.0999999999999996</v>
      </c>
      <c r="H67" s="49"/>
      <c r="I67" s="49"/>
    </row>
    <row r="68" spans="1:9" ht="15.75" customHeight="1" x14ac:dyDescent="0.25">
      <c r="A68" s="49" t="s">
        <v>445</v>
      </c>
      <c r="B68" s="49" t="s">
        <v>150</v>
      </c>
      <c r="C68" s="49" t="s">
        <v>151</v>
      </c>
      <c r="D68" s="144" t="s">
        <v>216</v>
      </c>
      <c r="E68" s="140" t="s">
        <v>5</v>
      </c>
      <c r="F68" s="58">
        <f t="shared" si="1"/>
        <v>2.5</v>
      </c>
      <c r="G68" s="148">
        <f>3-0.5</f>
        <v>2.5</v>
      </c>
      <c r="H68" s="49"/>
      <c r="I68" s="49"/>
    </row>
    <row r="69" spans="1:9" ht="13.5" customHeight="1" x14ac:dyDescent="0.25">
      <c r="A69" s="49" t="s">
        <v>231</v>
      </c>
      <c r="B69" s="49" t="s">
        <v>150</v>
      </c>
      <c r="C69" s="49" t="s">
        <v>151</v>
      </c>
      <c r="D69" s="144" t="s">
        <v>217</v>
      </c>
      <c r="E69" s="140" t="s">
        <v>5</v>
      </c>
      <c r="F69" s="49">
        <f t="shared" si="1"/>
        <v>19.5</v>
      </c>
      <c r="G69" s="49">
        <f>19.5</f>
        <v>19.5</v>
      </c>
      <c r="H69" s="49"/>
      <c r="I69" s="49"/>
    </row>
    <row r="70" spans="1:9" ht="15.75" customHeight="1" x14ac:dyDescent="0.25">
      <c r="A70" s="49" t="s">
        <v>232</v>
      </c>
      <c r="B70" s="49" t="s">
        <v>150</v>
      </c>
      <c r="C70" s="49" t="s">
        <v>151</v>
      </c>
      <c r="D70" s="144" t="s">
        <v>8</v>
      </c>
      <c r="E70" s="140" t="s">
        <v>143</v>
      </c>
      <c r="F70" s="148">
        <f t="shared" si="1"/>
        <v>222.3</v>
      </c>
      <c r="G70" s="148">
        <v>20</v>
      </c>
      <c r="H70" s="49"/>
      <c r="I70" s="49">
        <f>22.3+180</f>
        <v>202.3</v>
      </c>
    </row>
    <row r="71" spans="1:9" ht="17.25" customHeight="1" x14ac:dyDescent="0.25">
      <c r="A71" s="49" t="s">
        <v>233</v>
      </c>
      <c r="B71" s="49" t="s">
        <v>42</v>
      </c>
      <c r="C71" s="49" t="s">
        <v>146</v>
      </c>
      <c r="D71" s="144" t="s">
        <v>8</v>
      </c>
      <c r="E71" s="19" t="s">
        <v>66</v>
      </c>
      <c r="F71" s="148">
        <f t="shared" si="1"/>
        <v>117</v>
      </c>
      <c r="G71" s="148">
        <f>44+50+3+20</f>
        <v>117</v>
      </c>
      <c r="H71" s="49"/>
      <c r="I71" s="49"/>
    </row>
    <row r="72" spans="1:9" ht="31.5" x14ac:dyDescent="0.25">
      <c r="A72" s="49" t="s">
        <v>234</v>
      </c>
      <c r="B72" s="49" t="s">
        <v>42</v>
      </c>
      <c r="C72" s="49" t="s">
        <v>146</v>
      </c>
      <c r="D72" s="144" t="s">
        <v>8</v>
      </c>
      <c r="E72" s="92" t="s">
        <v>489</v>
      </c>
      <c r="F72" s="148">
        <f t="shared" si="1"/>
        <v>4</v>
      </c>
      <c r="G72" s="148">
        <v>4</v>
      </c>
      <c r="H72" s="49"/>
      <c r="I72" s="49"/>
    </row>
    <row r="73" spans="1:9" ht="15.75" customHeight="1" x14ac:dyDescent="0.25">
      <c r="A73" s="49" t="s">
        <v>235</v>
      </c>
      <c r="B73" s="49" t="s">
        <v>42</v>
      </c>
      <c r="C73" s="49" t="s">
        <v>146</v>
      </c>
      <c r="D73" s="144" t="s">
        <v>8</v>
      </c>
      <c r="E73" s="19" t="s">
        <v>26</v>
      </c>
      <c r="F73" s="148">
        <f t="shared" si="1"/>
        <v>5</v>
      </c>
      <c r="G73" s="148">
        <v>5</v>
      </c>
      <c r="H73" s="49"/>
      <c r="I73" s="49"/>
    </row>
    <row r="74" spans="1:9" ht="15.75" customHeight="1" x14ac:dyDescent="0.25">
      <c r="A74" s="49" t="s">
        <v>236</v>
      </c>
      <c r="B74" s="49" t="s">
        <v>42</v>
      </c>
      <c r="C74" s="49" t="s">
        <v>146</v>
      </c>
      <c r="D74" s="144" t="s">
        <v>8</v>
      </c>
      <c r="E74" s="140" t="s">
        <v>171</v>
      </c>
      <c r="F74" s="148">
        <f t="shared" si="1"/>
        <v>3</v>
      </c>
      <c r="G74" s="148">
        <v>3</v>
      </c>
      <c r="H74" s="49"/>
      <c r="I74" s="49"/>
    </row>
    <row r="75" spans="1:9" ht="15.75" customHeight="1" x14ac:dyDescent="0.25">
      <c r="A75" s="49" t="s">
        <v>237</v>
      </c>
      <c r="B75" s="49" t="s">
        <v>116</v>
      </c>
      <c r="C75" s="49" t="s">
        <v>146</v>
      </c>
      <c r="D75" s="144" t="s">
        <v>8</v>
      </c>
      <c r="E75" s="139" t="s">
        <v>13</v>
      </c>
      <c r="F75" s="148">
        <f t="shared" si="1"/>
        <v>13.4</v>
      </c>
      <c r="G75" s="148">
        <v>13.4</v>
      </c>
      <c r="H75" s="49">
        <v>10.199999999999999</v>
      </c>
      <c r="I75" s="49"/>
    </row>
    <row r="76" spans="1:9" ht="15" customHeight="1" x14ac:dyDescent="0.25">
      <c r="A76" s="49" t="s">
        <v>238</v>
      </c>
      <c r="B76" s="49" t="s">
        <v>42</v>
      </c>
      <c r="C76" s="49" t="s">
        <v>146</v>
      </c>
      <c r="D76" s="140" t="s">
        <v>112</v>
      </c>
      <c r="E76" s="140" t="s">
        <v>14</v>
      </c>
      <c r="F76" s="56">
        <f t="shared" ref="F76:F101" si="2">SUM(G76+I76)</f>
        <v>20.400000000000002</v>
      </c>
      <c r="G76" s="49">
        <f>20.1+0.3</f>
        <v>20.400000000000002</v>
      </c>
      <c r="H76" s="148">
        <f>11+0.2+0.8</f>
        <v>12</v>
      </c>
      <c r="I76" s="49"/>
    </row>
    <row r="77" spans="1:9" ht="15" customHeight="1" x14ac:dyDescent="0.25">
      <c r="A77" s="49" t="s">
        <v>239</v>
      </c>
      <c r="B77" s="49" t="s">
        <v>43</v>
      </c>
      <c r="C77" s="49" t="s">
        <v>150</v>
      </c>
      <c r="D77" s="144" t="s">
        <v>8</v>
      </c>
      <c r="E77" s="144" t="s">
        <v>144</v>
      </c>
      <c r="F77" s="58">
        <f>SUM(G77+I77)</f>
        <v>767.8</v>
      </c>
      <c r="G77" s="148">
        <f>431.2+14.3+2.5+5.9+1.6+20.9+1.4</f>
        <v>477.79999999999995</v>
      </c>
      <c r="H77" s="49"/>
      <c r="I77" s="148">
        <f>200+70+20</f>
        <v>290</v>
      </c>
    </row>
    <row r="78" spans="1:9" ht="15" customHeight="1" x14ac:dyDescent="0.25">
      <c r="A78" s="49" t="s">
        <v>240</v>
      </c>
      <c r="B78" s="49" t="s">
        <v>43</v>
      </c>
      <c r="C78" s="49" t="s">
        <v>150</v>
      </c>
      <c r="D78" s="144" t="s">
        <v>8</v>
      </c>
      <c r="E78" s="16" t="s">
        <v>366</v>
      </c>
      <c r="F78" s="58">
        <f>SUM(G78+I78)</f>
        <v>5</v>
      </c>
      <c r="G78" s="148">
        <v>5</v>
      </c>
      <c r="H78" s="49"/>
      <c r="I78" s="49"/>
    </row>
    <row r="79" spans="1:9" ht="15" customHeight="1" x14ac:dyDescent="0.25">
      <c r="A79" s="49" t="s">
        <v>241</v>
      </c>
      <c r="B79" s="49" t="s">
        <v>43</v>
      </c>
      <c r="C79" s="49" t="s">
        <v>150</v>
      </c>
      <c r="D79" s="144" t="s">
        <v>8</v>
      </c>
      <c r="E79" s="16" t="s">
        <v>391</v>
      </c>
      <c r="F79" s="58">
        <f>SUM(G79+I79)</f>
        <v>26.400000000000002</v>
      </c>
      <c r="G79" s="148">
        <f>35-10.7+2.1</f>
        <v>26.400000000000002</v>
      </c>
      <c r="H79" s="49"/>
      <c r="I79" s="49"/>
    </row>
    <row r="80" spans="1:9" ht="15.75" customHeight="1" x14ac:dyDescent="0.25">
      <c r="A80" s="49" t="s">
        <v>242</v>
      </c>
      <c r="B80" s="49" t="s">
        <v>43</v>
      </c>
      <c r="C80" s="49" t="s">
        <v>150</v>
      </c>
      <c r="D80" s="14" t="s">
        <v>8</v>
      </c>
      <c r="E80" s="144" t="s">
        <v>367</v>
      </c>
      <c r="F80" s="58">
        <f>SUM(G80+I80)</f>
        <v>20</v>
      </c>
      <c r="G80" s="148">
        <v>20</v>
      </c>
      <c r="H80" s="49"/>
      <c r="I80" s="49"/>
    </row>
    <row r="81" spans="1:9" ht="15" customHeight="1" x14ac:dyDescent="0.25">
      <c r="A81" s="49" t="s">
        <v>243</v>
      </c>
      <c r="B81" s="49" t="s">
        <v>43</v>
      </c>
      <c r="C81" s="49" t="s">
        <v>150</v>
      </c>
      <c r="D81" s="1" t="s">
        <v>17</v>
      </c>
      <c r="E81" s="1" t="s">
        <v>158</v>
      </c>
      <c r="F81" s="148">
        <f t="shared" si="2"/>
        <v>436.40000000000003</v>
      </c>
      <c r="G81" s="148">
        <f>431.6+0.5+1.3+0.1</f>
        <v>433.50000000000006</v>
      </c>
      <c r="H81" s="49">
        <f>265.9+1</f>
        <v>266.89999999999998</v>
      </c>
      <c r="I81" s="49">
        <f>2.3+0.6</f>
        <v>2.9</v>
      </c>
    </row>
    <row r="82" spans="1:9" ht="15" customHeight="1" x14ac:dyDescent="0.25">
      <c r="A82" s="49" t="s">
        <v>244</v>
      </c>
      <c r="B82" s="49" t="s">
        <v>43</v>
      </c>
      <c r="C82" s="49" t="s">
        <v>150</v>
      </c>
      <c r="D82" s="19" t="s">
        <v>18</v>
      </c>
      <c r="E82" s="1" t="s">
        <v>6</v>
      </c>
      <c r="F82" s="58">
        <f t="shared" si="2"/>
        <v>96.399999999999991</v>
      </c>
      <c r="G82" s="148">
        <f>94+0.3-3.5+2.1</f>
        <v>92.899999999999991</v>
      </c>
      <c r="H82" s="49">
        <f>51.1+0.2+1.6</f>
        <v>52.900000000000006</v>
      </c>
      <c r="I82" s="49">
        <v>3.5</v>
      </c>
    </row>
    <row r="83" spans="1:9" ht="15" customHeight="1" x14ac:dyDescent="0.25">
      <c r="A83" s="49" t="s">
        <v>245</v>
      </c>
      <c r="B83" s="49" t="s">
        <v>44</v>
      </c>
      <c r="C83" s="49" t="s">
        <v>150</v>
      </c>
      <c r="D83" s="144" t="s">
        <v>8</v>
      </c>
      <c r="E83" s="16" t="s">
        <v>340</v>
      </c>
      <c r="F83" s="148">
        <f t="shared" si="2"/>
        <v>68.699999999999974</v>
      </c>
      <c r="G83" s="148">
        <f>180-21.8-100.4+11.8-0.9</f>
        <v>68.699999999999974</v>
      </c>
      <c r="H83" s="49"/>
      <c r="I83" s="49"/>
    </row>
    <row r="84" spans="1:9" ht="15" customHeight="1" x14ac:dyDescent="0.25">
      <c r="A84" s="49" t="s">
        <v>246</v>
      </c>
      <c r="B84" s="49" t="s">
        <v>44</v>
      </c>
      <c r="C84" s="49" t="s">
        <v>150</v>
      </c>
      <c r="D84" s="144" t="s">
        <v>8</v>
      </c>
      <c r="E84" s="16" t="s">
        <v>296</v>
      </c>
      <c r="F84" s="148">
        <f t="shared" si="2"/>
        <v>68</v>
      </c>
      <c r="G84" s="148">
        <f>67+1</f>
        <v>68</v>
      </c>
      <c r="H84" s="49"/>
      <c r="I84" s="49"/>
    </row>
    <row r="85" spans="1:9" ht="15" customHeight="1" x14ac:dyDescent="0.25">
      <c r="A85" s="49" t="s">
        <v>247</v>
      </c>
      <c r="B85" s="49" t="s">
        <v>44</v>
      </c>
      <c r="C85" s="49" t="s">
        <v>150</v>
      </c>
      <c r="D85" s="144" t="s">
        <v>8</v>
      </c>
      <c r="E85" s="1" t="s">
        <v>297</v>
      </c>
      <c r="F85" s="148">
        <f t="shared" si="2"/>
        <v>7</v>
      </c>
      <c r="G85" s="148">
        <v>7</v>
      </c>
      <c r="H85" s="49"/>
      <c r="I85" s="49"/>
    </row>
    <row r="86" spans="1:9" ht="30.75" customHeight="1" x14ac:dyDescent="0.25">
      <c r="A86" s="49" t="s">
        <v>292</v>
      </c>
      <c r="B86" s="49" t="s">
        <v>45</v>
      </c>
      <c r="C86" s="49" t="s">
        <v>147</v>
      </c>
      <c r="D86" s="20" t="s">
        <v>316</v>
      </c>
      <c r="E86" s="21" t="s">
        <v>168</v>
      </c>
      <c r="F86" s="58">
        <f>SUM(G86+I86)</f>
        <v>264.89999999999998</v>
      </c>
      <c r="G86" s="49">
        <f>255.8+5.7-1.3+3.4</f>
        <v>263.59999999999997</v>
      </c>
      <c r="H86" s="49">
        <f>148.4+4.3+2.6</f>
        <v>155.30000000000001</v>
      </c>
      <c r="I86" s="49">
        <v>1.3</v>
      </c>
    </row>
    <row r="87" spans="1:9" ht="30.75" customHeight="1" x14ac:dyDescent="0.25">
      <c r="A87" s="49" t="s">
        <v>248</v>
      </c>
      <c r="B87" s="49" t="s">
        <v>45</v>
      </c>
      <c r="C87" s="49" t="s">
        <v>147</v>
      </c>
      <c r="D87" s="144" t="s">
        <v>317</v>
      </c>
      <c r="E87" s="21" t="s">
        <v>168</v>
      </c>
      <c r="F87" s="58">
        <f t="shared" si="2"/>
        <v>256.7</v>
      </c>
      <c r="G87" s="49">
        <f>243.1+0.2-1.8+4.9+3+4.2+1.3</f>
        <v>254.89999999999998</v>
      </c>
      <c r="H87" s="49">
        <f>136.9+3.8+1</f>
        <v>141.70000000000002</v>
      </c>
      <c r="I87" s="49">
        <v>1.8</v>
      </c>
    </row>
    <row r="88" spans="1:9" ht="24.75" customHeight="1" x14ac:dyDescent="0.25">
      <c r="A88" s="49" t="s">
        <v>249</v>
      </c>
      <c r="B88" s="49" t="s">
        <v>45</v>
      </c>
      <c r="C88" s="49" t="s">
        <v>147</v>
      </c>
      <c r="D88" s="144" t="s">
        <v>318</v>
      </c>
      <c r="E88" s="21" t="s">
        <v>169</v>
      </c>
      <c r="F88" s="58">
        <f t="shared" si="2"/>
        <v>29.1</v>
      </c>
      <c r="G88" s="148">
        <f>44-14.9</f>
        <v>29.1</v>
      </c>
      <c r="H88" s="49">
        <f>23.7-6.7</f>
        <v>17</v>
      </c>
      <c r="I88" s="49"/>
    </row>
    <row r="89" spans="1:9" ht="17.25" customHeight="1" x14ac:dyDescent="0.25">
      <c r="A89" s="49" t="s">
        <v>250</v>
      </c>
      <c r="B89" s="49" t="s">
        <v>45</v>
      </c>
      <c r="C89" s="49" t="s">
        <v>147</v>
      </c>
      <c r="D89" s="144" t="s">
        <v>319</v>
      </c>
      <c r="E89" s="1" t="s">
        <v>353</v>
      </c>
      <c r="F89" s="148">
        <f t="shared" si="2"/>
        <v>74.399999999999991</v>
      </c>
      <c r="G89" s="49">
        <f>72.3+2.1</f>
        <v>74.399999999999991</v>
      </c>
      <c r="H89" s="49">
        <f>36.5+1.6</f>
        <v>38.1</v>
      </c>
      <c r="I89" s="49"/>
    </row>
    <row r="90" spans="1:9" ht="15.75" customHeight="1" x14ac:dyDescent="0.25">
      <c r="A90" s="49" t="s">
        <v>251</v>
      </c>
      <c r="B90" s="49" t="s">
        <v>45</v>
      </c>
      <c r="C90" s="49" t="s">
        <v>147</v>
      </c>
      <c r="D90" s="144" t="s">
        <v>320</v>
      </c>
      <c r="E90" s="1" t="s">
        <v>353</v>
      </c>
      <c r="F90" s="49">
        <f t="shared" si="2"/>
        <v>1.1000000000000001</v>
      </c>
      <c r="G90" s="49">
        <v>1.1000000000000001</v>
      </c>
      <c r="H90" s="49">
        <v>0.7</v>
      </c>
      <c r="I90" s="49"/>
    </row>
    <row r="91" spans="1:9" ht="31.5" customHeight="1" x14ac:dyDescent="0.25">
      <c r="A91" s="49" t="s">
        <v>252</v>
      </c>
      <c r="B91" s="49" t="s">
        <v>45</v>
      </c>
      <c r="C91" s="49" t="s">
        <v>147</v>
      </c>
      <c r="D91" s="144" t="s">
        <v>321</v>
      </c>
      <c r="E91" s="1" t="s">
        <v>353</v>
      </c>
      <c r="F91" s="49">
        <f t="shared" si="2"/>
        <v>116.5</v>
      </c>
      <c r="G91" s="49">
        <f>101.5+4.1+3+1.3-0.1</f>
        <v>109.8</v>
      </c>
      <c r="H91" s="49">
        <f>46.1+3.1+2.3-1.2</f>
        <v>50.3</v>
      </c>
      <c r="I91" s="148">
        <f>5+1.7</f>
        <v>6.7</v>
      </c>
    </row>
    <row r="92" spans="1:9" ht="15.75" customHeight="1" x14ac:dyDescent="0.25">
      <c r="A92" s="49" t="s">
        <v>253</v>
      </c>
      <c r="B92" s="49" t="s">
        <v>45</v>
      </c>
      <c r="C92" s="49" t="s">
        <v>147</v>
      </c>
      <c r="D92" s="22" t="s">
        <v>322</v>
      </c>
      <c r="E92" s="1" t="s">
        <v>353</v>
      </c>
      <c r="F92" s="149">
        <f t="shared" si="2"/>
        <v>214.3</v>
      </c>
      <c r="G92" s="49">
        <f>144.8+14+3.4+3.2+3.9-0.7</f>
        <v>168.60000000000002</v>
      </c>
      <c r="H92" s="148">
        <f>61+2.5</f>
        <v>63.5</v>
      </c>
      <c r="I92" s="148">
        <f>45+0.7</f>
        <v>45.7</v>
      </c>
    </row>
    <row r="93" spans="1:9" ht="15.75" customHeight="1" x14ac:dyDescent="0.25">
      <c r="A93" s="49" t="s">
        <v>254</v>
      </c>
      <c r="B93" s="49" t="s">
        <v>45</v>
      </c>
      <c r="C93" s="49" t="s">
        <v>147</v>
      </c>
      <c r="D93" s="22" t="s">
        <v>323</v>
      </c>
      <c r="E93" s="1" t="s">
        <v>353</v>
      </c>
      <c r="F93" s="66">
        <f t="shared" si="2"/>
        <v>76.5</v>
      </c>
      <c r="G93" s="148">
        <f>68.9+5.5+0.3+1.7+0.1</f>
        <v>76.5</v>
      </c>
      <c r="H93" s="148">
        <f>31.5+0.2+1.3+0.1</f>
        <v>33.1</v>
      </c>
      <c r="I93" s="49">
        <f>5.5-5.5</f>
        <v>0</v>
      </c>
    </row>
    <row r="94" spans="1:9" ht="15.75" customHeight="1" x14ac:dyDescent="0.25">
      <c r="A94" s="49" t="s">
        <v>255</v>
      </c>
      <c r="B94" s="49" t="s">
        <v>45</v>
      </c>
      <c r="C94" s="49" t="s">
        <v>147</v>
      </c>
      <c r="D94" s="144" t="s">
        <v>324</v>
      </c>
      <c r="E94" s="1" t="s">
        <v>353</v>
      </c>
      <c r="F94" s="66">
        <f t="shared" si="2"/>
        <v>77.900000000000006</v>
      </c>
      <c r="G94" s="148">
        <f>76+0.4+1.2+0.3</f>
        <v>77.900000000000006</v>
      </c>
      <c r="H94" s="49">
        <f>21.2+0.3+0.9+0.2</f>
        <v>22.599999999999998</v>
      </c>
      <c r="I94" s="49"/>
    </row>
    <row r="95" spans="1:9" ht="15.75" customHeight="1" x14ac:dyDescent="0.25">
      <c r="A95" s="49" t="s">
        <v>256</v>
      </c>
      <c r="B95" s="49" t="s">
        <v>45</v>
      </c>
      <c r="C95" s="49" t="s">
        <v>147</v>
      </c>
      <c r="D95" s="1" t="s">
        <v>325</v>
      </c>
      <c r="E95" s="1" t="s">
        <v>353</v>
      </c>
      <c r="F95" s="149">
        <f t="shared" si="2"/>
        <v>119.19999999999999</v>
      </c>
      <c r="G95" s="49">
        <f>116.1+3.1</f>
        <v>119.19999999999999</v>
      </c>
      <c r="H95" s="148">
        <f>59+2.4</f>
        <v>61.4</v>
      </c>
      <c r="I95" s="49"/>
    </row>
    <row r="96" spans="1:9" ht="15.75" customHeight="1" x14ac:dyDescent="0.25">
      <c r="A96" s="49" t="s">
        <v>257</v>
      </c>
      <c r="B96" s="49" t="s">
        <v>45</v>
      </c>
      <c r="C96" s="49" t="s">
        <v>147</v>
      </c>
      <c r="D96" s="1" t="s">
        <v>326</v>
      </c>
      <c r="E96" s="1" t="s">
        <v>353</v>
      </c>
      <c r="F96" s="56">
        <f t="shared" si="2"/>
        <v>161.5</v>
      </c>
      <c r="G96" s="49">
        <f>163.9+3.7-3-3.1</f>
        <v>161.5</v>
      </c>
      <c r="H96" s="49">
        <f>70.7+2.8-2.4</f>
        <v>71.099999999999994</v>
      </c>
      <c r="I96" s="49"/>
    </row>
    <row r="97" spans="1:9" ht="15.75" customHeight="1" x14ac:dyDescent="0.25">
      <c r="A97" s="49" t="s">
        <v>258</v>
      </c>
      <c r="B97" s="49" t="s">
        <v>45</v>
      </c>
      <c r="C97" s="49" t="s">
        <v>147</v>
      </c>
      <c r="D97" s="6" t="s">
        <v>376</v>
      </c>
      <c r="E97" s="1" t="s">
        <v>353</v>
      </c>
      <c r="F97" s="148">
        <f t="shared" si="2"/>
        <v>387.1</v>
      </c>
      <c r="G97" s="49">
        <f>360.2+2.8+8.4-2.2-4.9</f>
        <v>364.3</v>
      </c>
      <c r="H97" s="148">
        <f>168.7+2.1+6.4-3.7</f>
        <v>173.5</v>
      </c>
      <c r="I97" s="148">
        <f>20+0.6+2.2</f>
        <v>22.8</v>
      </c>
    </row>
    <row r="98" spans="1:9" ht="30" customHeight="1" x14ac:dyDescent="0.25">
      <c r="A98" s="49" t="s">
        <v>259</v>
      </c>
      <c r="B98" s="49" t="s">
        <v>45</v>
      </c>
      <c r="C98" s="49" t="s">
        <v>147</v>
      </c>
      <c r="D98" s="144" t="s">
        <v>328</v>
      </c>
      <c r="E98" s="1" t="s">
        <v>353</v>
      </c>
      <c r="F98" s="49">
        <f t="shared" si="2"/>
        <v>260.09999999999997</v>
      </c>
      <c r="G98" s="49">
        <f>206.2+8.6+5.8+14.9+1.7+1.7</f>
        <v>238.89999999999998</v>
      </c>
      <c r="H98" s="148">
        <f>105+4.4+6.7</f>
        <v>116.10000000000001</v>
      </c>
      <c r="I98" s="49">
        <f>22.9-1.7</f>
        <v>21.2</v>
      </c>
    </row>
    <row r="99" spans="1:9" ht="33.75" customHeight="1" x14ac:dyDescent="0.25">
      <c r="A99" s="49" t="s">
        <v>260</v>
      </c>
      <c r="B99" s="49" t="s">
        <v>45</v>
      </c>
      <c r="C99" s="49" t="s">
        <v>147</v>
      </c>
      <c r="D99" s="144" t="s">
        <v>327</v>
      </c>
      <c r="E99" s="1" t="s">
        <v>353</v>
      </c>
      <c r="F99" s="149">
        <f t="shared" si="2"/>
        <v>302.29999999999995</v>
      </c>
      <c r="G99" s="49">
        <f>285.6+1.9+5.9+3.4+3+0.8</f>
        <v>300.59999999999997</v>
      </c>
      <c r="H99" s="49">
        <f>125.6+1.5+4.5+2.6+0.6</f>
        <v>134.79999999999998</v>
      </c>
      <c r="I99" s="49">
        <v>1.7</v>
      </c>
    </row>
    <row r="100" spans="1:9" ht="14.25" customHeight="1" x14ac:dyDescent="0.25">
      <c r="A100" s="49" t="s">
        <v>261</v>
      </c>
      <c r="B100" s="49" t="s">
        <v>45</v>
      </c>
      <c r="C100" s="49" t="s">
        <v>147</v>
      </c>
      <c r="D100" s="144" t="s">
        <v>25</v>
      </c>
      <c r="E100" s="19" t="s">
        <v>386</v>
      </c>
      <c r="F100" s="149">
        <f t="shared" si="2"/>
        <v>298.2</v>
      </c>
      <c r="G100" s="49">
        <f>296.5+2.2+0.9-1.4</f>
        <v>298.2</v>
      </c>
      <c r="H100" s="49">
        <f>225.5+0.7-1.1</f>
        <v>225.1</v>
      </c>
      <c r="I100" s="49"/>
    </row>
    <row r="101" spans="1:9" ht="15" customHeight="1" x14ac:dyDescent="0.25">
      <c r="A101" s="49" t="s">
        <v>262</v>
      </c>
      <c r="B101" s="49" t="s">
        <v>43</v>
      </c>
      <c r="C101" s="49" t="s">
        <v>147</v>
      </c>
      <c r="D101" s="152" t="s">
        <v>8</v>
      </c>
      <c r="E101" s="142" t="s">
        <v>361</v>
      </c>
      <c r="F101" s="66">
        <f t="shared" si="2"/>
        <v>299.5</v>
      </c>
      <c r="G101" s="148">
        <f>290.8+2.1+6.4+0.2</f>
        <v>299.5</v>
      </c>
      <c r="H101" s="49"/>
      <c r="I101" s="49"/>
    </row>
    <row r="102" spans="1:9" ht="15.75" customHeight="1" x14ac:dyDescent="0.25">
      <c r="A102" s="49" t="s">
        <v>263</v>
      </c>
      <c r="B102" s="49" t="s">
        <v>45</v>
      </c>
      <c r="C102" s="49" t="s">
        <v>147</v>
      </c>
      <c r="D102" s="152" t="s">
        <v>8</v>
      </c>
      <c r="E102" s="142" t="s">
        <v>67</v>
      </c>
      <c r="F102" s="66">
        <f t="shared" ref="F102:F120" si="3">SUM(G102+I102)</f>
        <v>67.400000000000006</v>
      </c>
      <c r="G102" s="148">
        <f>61.4+6</f>
        <v>67.400000000000006</v>
      </c>
      <c r="H102" s="49"/>
      <c r="I102" s="49"/>
    </row>
    <row r="103" spans="1:9" ht="15.75" customHeight="1" x14ac:dyDescent="0.25">
      <c r="A103" s="49" t="s">
        <v>264</v>
      </c>
      <c r="B103" s="49" t="s">
        <v>45</v>
      </c>
      <c r="C103" s="49" t="s">
        <v>147</v>
      </c>
      <c r="D103" s="11" t="s">
        <v>8</v>
      </c>
      <c r="E103" s="23" t="s">
        <v>198</v>
      </c>
      <c r="F103" s="58">
        <f t="shared" si="3"/>
        <v>109</v>
      </c>
      <c r="G103" s="148">
        <f>120.3-10-1.3</f>
        <v>109</v>
      </c>
      <c r="H103" s="49"/>
      <c r="I103" s="49"/>
    </row>
    <row r="104" spans="1:9" ht="14.25" customHeight="1" x14ac:dyDescent="0.25">
      <c r="A104" s="49" t="s">
        <v>265</v>
      </c>
      <c r="B104" s="49" t="s">
        <v>45</v>
      </c>
      <c r="C104" s="49" t="s">
        <v>147</v>
      </c>
      <c r="D104" s="11" t="s">
        <v>8</v>
      </c>
      <c r="E104" s="140" t="s">
        <v>106</v>
      </c>
      <c r="F104" s="56">
        <f t="shared" si="3"/>
        <v>4.9000000000000004</v>
      </c>
      <c r="G104" s="49">
        <v>4.9000000000000004</v>
      </c>
      <c r="H104" s="49"/>
      <c r="I104" s="49"/>
    </row>
    <row r="105" spans="1:9" ht="15.75" customHeight="1" x14ac:dyDescent="0.25">
      <c r="A105" s="49" t="s">
        <v>266</v>
      </c>
      <c r="B105" s="49" t="s">
        <v>45</v>
      </c>
      <c r="C105" s="49" t="s">
        <v>147</v>
      </c>
      <c r="D105" s="11" t="s">
        <v>8</v>
      </c>
      <c r="E105" s="14" t="s">
        <v>478</v>
      </c>
      <c r="F105" s="56">
        <f t="shared" si="3"/>
        <v>0.69999999999999973</v>
      </c>
      <c r="G105" s="49">
        <f>4.1-3.4</f>
        <v>0.69999999999999973</v>
      </c>
      <c r="H105" s="49"/>
      <c r="I105" s="49"/>
    </row>
    <row r="106" spans="1:9" ht="15.75" customHeight="1" x14ac:dyDescent="0.25">
      <c r="A106" s="49" t="s">
        <v>267</v>
      </c>
      <c r="B106" s="49" t="s">
        <v>116</v>
      </c>
      <c r="C106" s="49" t="s">
        <v>147</v>
      </c>
      <c r="D106" s="11" t="s">
        <v>8</v>
      </c>
      <c r="E106" s="10" t="s">
        <v>172</v>
      </c>
      <c r="F106" s="58">
        <f t="shared" si="3"/>
        <v>123.3</v>
      </c>
      <c r="G106" s="148">
        <f>115.7+7.6</f>
        <v>123.3</v>
      </c>
      <c r="H106" s="49">
        <f>75.3+5.9</f>
        <v>81.2</v>
      </c>
      <c r="I106" s="49"/>
    </row>
    <row r="107" spans="1:9" ht="29.25" customHeight="1" x14ac:dyDescent="0.25">
      <c r="A107" s="49" t="s">
        <v>268</v>
      </c>
      <c r="B107" s="49" t="s">
        <v>46</v>
      </c>
      <c r="C107" s="49" t="s">
        <v>40</v>
      </c>
      <c r="D107" s="14" t="s">
        <v>107</v>
      </c>
      <c r="E107" s="142" t="s">
        <v>152</v>
      </c>
      <c r="F107" s="49">
        <f>SUM(G107+I107)</f>
        <v>113.9</v>
      </c>
      <c r="G107" s="49">
        <f>112.5+1.4</f>
        <v>113.9</v>
      </c>
      <c r="H107" s="148">
        <f>76.9+1.1+1.4</f>
        <v>79.400000000000006</v>
      </c>
      <c r="I107" s="49"/>
    </row>
    <row r="108" spans="1:9" ht="31.5" customHeight="1" x14ac:dyDescent="0.25">
      <c r="A108" s="49" t="s">
        <v>269</v>
      </c>
      <c r="B108" s="49" t="s">
        <v>44</v>
      </c>
      <c r="C108" s="49" t="s">
        <v>40</v>
      </c>
      <c r="D108" s="14" t="s">
        <v>8</v>
      </c>
      <c r="E108" s="16" t="s">
        <v>298</v>
      </c>
      <c r="F108" s="49">
        <f t="shared" si="3"/>
        <v>10.5</v>
      </c>
      <c r="G108" s="49">
        <v>10.5</v>
      </c>
      <c r="H108" s="49"/>
      <c r="I108" s="49"/>
    </row>
    <row r="109" spans="1:9" ht="16.5" customHeight="1" x14ac:dyDescent="0.25">
      <c r="A109" s="49" t="s">
        <v>270</v>
      </c>
      <c r="B109" s="24" t="s">
        <v>46</v>
      </c>
      <c r="C109" s="49" t="s">
        <v>40</v>
      </c>
      <c r="D109" s="25" t="s">
        <v>8</v>
      </c>
      <c r="E109" s="19" t="s">
        <v>155</v>
      </c>
      <c r="F109" s="56">
        <f t="shared" si="3"/>
        <v>99.7</v>
      </c>
      <c r="G109" s="56">
        <f>98.5+1.2</f>
        <v>99.7</v>
      </c>
      <c r="H109" s="49"/>
      <c r="I109" s="49"/>
    </row>
    <row r="110" spans="1:9" ht="16.5" customHeight="1" x14ac:dyDescent="0.25">
      <c r="A110" s="49" t="s">
        <v>271</v>
      </c>
      <c r="B110" s="24" t="s">
        <v>46</v>
      </c>
      <c r="C110" s="49" t="s">
        <v>40</v>
      </c>
      <c r="D110" s="25" t="s">
        <v>8</v>
      </c>
      <c r="E110" s="19" t="s">
        <v>157</v>
      </c>
      <c r="F110" s="58">
        <f t="shared" si="3"/>
        <v>66</v>
      </c>
      <c r="G110" s="58">
        <f>40+26</f>
        <v>66</v>
      </c>
      <c r="H110" s="49"/>
      <c r="I110" s="49"/>
    </row>
    <row r="111" spans="1:9" ht="16.5" customHeight="1" x14ac:dyDescent="0.25">
      <c r="A111" s="49" t="s">
        <v>272</v>
      </c>
      <c r="B111" s="24" t="s">
        <v>46</v>
      </c>
      <c r="C111" s="49" t="s">
        <v>40</v>
      </c>
      <c r="D111" s="25" t="s">
        <v>8</v>
      </c>
      <c r="E111" s="10" t="s">
        <v>161</v>
      </c>
      <c r="F111" s="56">
        <f t="shared" si="3"/>
        <v>15.9</v>
      </c>
      <c r="G111" s="56">
        <v>15.9</v>
      </c>
      <c r="H111" s="49"/>
      <c r="I111" s="49"/>
    </row>
    <row r="112" spans="1:9" ht="16.5" customHeight="1" x14ac:dyDescent="0.25">
      <c r="A112" s="49" t="s">
        <v>273</v>
      </c>
      <c r="B112" s="24" t="s">
        <v>46</v>
      </c>
      <c r="C112" s="49" t="s">
        <v>40</v>
      </c>
      <c r="D112" s="25" t="s">
        <v>8</v>
      </c>
      <c r="E112" s="19" t="s">
        <v>351</v>
      </c>
      <c r="F112" s="56">
        <f t="shared" si="3"/>
        <v>51.1</v>
      </c>
      <c r="G112" s="56">
        <f>48.1+3</f>
        <v>51.1</v>
      </c>
      <c r="H112" s="49"/>
      <c r="I112" s="49"/>
    </row>
    <row r="113" spans="1:9" ht="16.5" customHeight="1" x14ac:dyDescent="0.25">
      <c r="A113" s="49" t="s">
        <v>274</v>
      </c>
      <c r="B113" s="24" t="s">
        <v>46</v>
      </c>
      <c r="C113" s="49" t="s">
        <v>40</v>
      </c>
      <c r="D113" s="25" t="s">
        <v>8</v>
      </c>
      <c r="E113" s="19" t="s">
        <v>19</v>
      </c>
      <c r="F113" s="58">
        <f t="shared" si="3"/>
        <v>15</v>
      </c>
      <c r="G113" s="58">
        <v>15</v>
      </c>
      <c r="H113" s="49"/>
      <c r="I113" s="49"/>
    </row>
    <row r="114" spans="1:9" ht="16.5" customHeight="1" x14ac:dyDescent="0.25">
      <c r="A114" s="49" t="s">
        <v>275</v>
      </c>
      <c r="B114" s="149" t="s">
        <v>46</v>
      </c>
      <c r="C114" s="49" t="s">
        <v>40</v>
      </c>
      <c r="D114" s="47" t="s">
        <v>8</v>
      </c>
      <c r="E114" s="19" t="s">
        <v>154</v>
      </c>
      <c r="F114" s="149">
        <f t="shared" si="3"/>
        <v>1134.2</v>
      </c>
      <c r="G114" s="149">
        <f>1313.4+2.1+1.9-35-130-18.2</f>
        <v>1134.2</v>
      </c>
      <c r="H114" s="49"/>
      <c r="I114" s="49"/>
    </row>
    <row r="115" spans="1:9" ht="16.5" customHeight="1" x14ac:dyDescent="0.25">
      <c r="A115" s="49" t="s">
        <v>276</v>
      </c>
      <c r="B115" s="24" t="s">
        <v>46</v>
      </c>
      <c r="C115" s="49" t="s">
        <v>40</v>
      </c>
      <c r="D115" s="25" t="s">
        <v>8</v>
      </c>
      <c r="E115" s="23" t="s">
        <v>363</v>
      </c>
      <c r="F115" s="56">
        <f t="shared" si="3"/>
        <v>101.6</v>
      </c>
      <c r="G115" s="56">
        <v>101.6</v>
      </c>
      <c r="H115" s="49"/>
      <c r="I115" s="49"/>
    </row>
    <row r="116" spans="1:9" ht="16.5" customHeight="1" x14ac:dyDescent="0.25">
      <c r="A116" s="49" t="s">
        <v>277</v>
      </c>
      <c r="B116" s="49" t="s">
        <v>46</v>
      </c>
      <c r="C116" s="49" t="s">
        <v>40</v>
      </c>
      <c r="D116" s="25" t="s">
        <v>8</v>
      </c>
      <c r="E116" s="19" t="s">
        <v>108</v>
      </c>
      <c r="F116" s="56">
        <f t="shared" si="3"/>
        <v>3.5</v>
      </c>
      <c r="G116" s="49">
        <f>1.5+1+1</f>
        <v>3.5</v>
      </c>
      <c r="H116" s="49"/>
      <c r="I116" s="49"/>
    </row>
    <row r="117" spans="1:9" ht="16.5" customHeight="1" x14ac:dyDescent="0.25">
      <c r="A117" s="49" t="s">
        <v>364</v>
      </c>
      <c r="B117" s="49" t="s">
        <v>46</v>
      </c>
      <c r="C117" s="49" t="s">
        <v>40</v>
      </c>
      <c r="D117" s="25" t="s">
        <v>8</v>
      </c>
      <c r="E117" s="19" t="s">
        <v>349</v>
      </c>
      <c r="F117" s="58">
        <f t="shared" si="3"/>
        <v>2</v>
      </c>
      <c r="G117" s="148">
        <f>3-1</f>
        <v>2</v>
      </c>
      <c r="H117" s="49"/>
      <c r="I117" s="49"/>
    </row>
    <row r="118" spans="1:9" ht="16.5" customHeight="1" x14ac:dyDescent="0.25">
      <c r="A118" s="49" t="s">
        <v>369</v>
      </c>
      <c r="B118" s="24" t="s">
        <v>46</v>
      </c>
      <c r="C118" s="49" t="s">
        <v>40</v>
      </c>
      <c r="D118" s="25" t="s">
        <v>8</v>
      </c>
      <c r="E118" s="11" t="s">
        <v>282</v>
      </c>
      <c r="F118" s="58">
        <f t="shared" si="3"/>
        <v>3</v>
      </c>
      <c r="G118" s="58">
        <v>3</v>
      </c>
      <c r="H118" s="49"/>
      <c r="I118" s="49"/>
    </row>
    <row r="119" spans="1:9" ht="16.5" customHeight="1" x14ac:dyDescent="0.25">
      <c r="A119" s="49" t="s">
        <v>443</v>
      </c>
      <c r="B119" s="24" t="s">
        <v>116</v>
      </c>
      <c r="C119" s="49">
        <v>10</v>
      </c>
      <c r="D119" s="25" t="s">
        <v>8</v>
      </c>
      <c r="E119" s="11" t="s">
        <v>348</v>
      </c>
      <c r="F119" s="58">
        <f t="shared" si="3"/>
        <v>160.4</v>
      </c>
      <c r="G119" s="58">
        <f>142.1+18.3</f>
        <v>160.4</v>
      </c>
      <c r="H119" s="148">
        <f>86.2+14</f>
        <v>100.2</v>
      </c>
      <c r="I119" s="49"/>
    </row>
    <row r="120" spans="1:9" ht="16.5" customHeight="1" x14ac:dyDescent="0.25">
      <c r="A120" s="49" t="s">
        <v>482</v>
      </c>
      <c r="B120" s="24" t="s">
        <v>41</v>
      </c>
      <c r="C120" s="49" t="s">
        <v>40</v>
      </c>
      <c r="D120" s="25" t="s">
        <v>8</v>
      </c>
      <c r="E120" s="11" t="s">
        <v>392</v>
      </c>
      <c r="F120" s="56">
        <f t="shared" si="3"/>
        <v>5.6</v>
      </c>
      <c r="G120" s="56">
        <v>5.6</v>
      </c>
      <c r="H120" s="49"/>
      <c r="I120" s="49"/>
    </row>
    <row r="121" spans="1:9" ht="16.5" customHeight="1" x14ac:dyDescent="0.25">
      <c r="A121" s="49" t="s">
        <v>485</v>
      </c>
      <c r="B121" s="24" t="s">
        <v>41</v>
      </c>
      <c r="C121" s="49" t="s">
        <v>40</v>
      </c>
      <c r="D121" s="25" t="s">
        <v>8</v>
      </c>
      <c r="E121" s="152" t="s">
        <v>286</v>
      </c>
      <c r="F121" s="58">
        <f>SUM(G121+I121)</f>
        <v>0.3</v>
      </c>
      <c r="G121" s="49">
        <v>0.3</v>
      </c>
      <c r="H121" s="49"/>
      <c r="I121" s="49"/>
    </row>
    <row r="122" spans="1:9" ht="16.5" customHeight="1" x14ac:dyDescent="0.25">
      <c r="A122" s="49" t="s">
        <v>487</v>
      </c>
      <c r="B122" s="24" t="s">
        <v>150</v>
      </c>
      <c r="C122" s="49" t="s">
        <v>145</v>
      </c>
      <c r="D122" s="25" t="s">
        <v>395</v>
      </c>
      <c r="E122" s="152" t="s">
        <v>486</v>
      </c>
      <c r="F122" s="58">
        <f>SUM(G122+I122)</f>
        <v>10</v>
      </c>
      <c r="G122" s="49"/>
      <c r="H122" s="49"/>
      <c r="I122" s="148">
        <v>10</v>
      </c>
    </row>
    <row r="123" spans="1:9" ht="15.75" customHeight="1" x14ac:dyDescent="0.25">
      <c r="A123" s="49" t="s">
        <v>488</v>
      </c>
      <c r="B123" s="49"/>
      <c r="C123" s="1"/>
      <c r="D123" s="160" t="s">
        <v>138</v>
      </c>
      <c r="E123" s="160"/>
      <c r="F123" s="150">
        <f>SUM(F15,F17:F40,F42:F122)</f>
        <v>10472</v>
      </c>
      <c r="G123" s="150">
        <f t="shared" ref="G123:I123" si="4">SUM(G15,G17:G40,G42:G122)</f>
        <v>9683.5</v>
      </c>
      <c r="H123" s="150">
        <f t="shared" si="4"/>
        <v>2883.1999999999994</v>
      </c>
      <c r="I123" s="150">
        <f t="shared" si="4"/>
        <v>788.5</v>
      </c>
    </row>
    <row r="124" spans="1:9" ht="14.25" customHeight="1" x14ac:dyDescent="0.25">
      <c r="D124" s="147"/>
      <c r="F124" s="145"/>
      <c r="G124" s="145"/>
      <c r="H124" s="145"/>
      <c r="I124" s="145"/>
    </row>
    <row r="125" spans="1:9" ht="31.5" x14ac:dyDescent="0.25">
      <c r="A125" s="1" t="s">
        <v>491</v>
      </c>
      <c r="B125" s="49" t="s">
        <v>116</v>
      </c>
      <c r="C125" s="49" t="s">
        <v>116</v>
      </c>
      <c r="D125" s="144" t="s">
        <v>283</v>
      </c>
      <c r="E125" s="1" t="s">
        <v>442</v>
      </c>
      <c r="F125" s="58">
        <f>SUM(G125+I125)</f>
        <v>1345.2</v>
      </c>
      <c r="G125" s="49"/>
      <c r="H125" s="49"/>
      <c r="I125" s="49">
        <f>1333.4+11.8</f>
        <v>1345.2</v>
      </c>
    </row>
  </sheetData>
  <mergeCells count="16">
    <mergeCell ref="D123:E123"/>
    <mergeCell ref="G12:H12"/>
    <mergeCell ref="I12:I14"/>
    <mergeCell ref="G13:G14"/>
    <mergeCell ref="H13:H14"/>
    <mergeCell ref="E11:E14"/>
    <mergeCell ref="F11:F14"/>
    <mergeCell ref="G11:I11"/>
    <mergeCell ref="A11:A14"/>
    <mergeCell ref="B11:B14"/>
    <mergeCell ref="C11:C14"/>
    <mergeCell ref="D11:D14"/>
    <mergeCell ref="F2:I2"/>
    <mergeCell ref="D8:I8"/>
    <mergeCell ref="D9:I9"/>
    <mergeCell ref="D10:I10"/>
  </mergeCells>
  <phoneticPr fontId="0" type="noConversion"/>
  <pageMargins left="0" right="0" top="0.78740157480314965" bottom="0" header="0.51181102362204722" footer="0.51181102362204722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2:I67"/>
  <sheetViews>
    <sheetView topLeftCell="A22" zoomScale="85" zoomScaleNormal="85" workbookViewId="0">
      <selection activeCell="E16" sqref="E16"/>
    </sheetView>
  </sheetViews>
  <sheetFormatPr defaultColWidth="9.140625" defaultRowHeight="16.5" x14ac:dyDescent="0.25"/>
  <cols>
    <col min="1" max="1" width="5.5703125" style="7" customWidth="1"/>
    <col min="2" max="2" width="5.7109375" style="7" customWidth="1"/>
    <col min="3" max="3" width="6.140625" style="7" customWidth="1"/>
    <col min="4" max="4" width="31" style="7" customWidth="1"/>
    <col min="5" max="5" width="51.85546875" style="7" customWidth="1"/>
    <col min="6" max="7" width="9.5703125" style="7" customWidth="1"/>
    <col min="8" max="8" width="9.7109375" style="7" customWidth="1"/>
    <col min="9" max="9" width="9.5703125" style="7" customWidth="1"/>
    <col min="10" max="10" width="9.140625" style="7"/>
    <col min="11" max="11" width="11.5703125" style="7" bestFit="1" customWidth="1"/>
    <col min="12" max="12" width="9.140625" style="7"/>
    <col min="13" max="13" width="11.5703125" style="7" bestFit="1" customWidth="1"/>
    <col min="14" max="16384" width="9.140625" style="7"/>
  </cols>
  <sheetData>
    <row r="2" spans="1:9" x14ac:dyDescent="0.25">
      <c r="E2" s="175" t="s">
        <v>468</v>
      </c>
      <c r="F2" s="175"/>
      <c r="G2" s="175"/>
      <c r="H2" s="175"/>
    </row>
    <row r="3" spans="1:9" x14ac:dyDescent="0.25">
      <c r="E3" s="32" t="s">
        <v>469</v>
      </c>
      <c r="F3" s="32"/>
      <c r="G3" s="32"/>
      <c r="H3" s="32"/>
    </row>
    <row r="4" spans="1:9" ht="16.5" customHeight="1" x14ac:dyDescent="0.25">
      <c r="E4" s="157" t="s">
        <v>383</v>
      </c>
      <c r="F4" s="157"/>
      <c r="G4" s="157"/>
      <c r="H4" s="157"/>
    </row>
    <row r="5" spans="1:9" ht="19.5" customHeight="1" x14ac:dyDescent="0.25">
      <c r="E5" s="141" t="s">
        <v>494</v>
      </c>
      <c r="F5" s="141"/>
      <c r="G5" s="110"/>
      <c r="H5" s="6"/>
      <c r="I5" s="6"/>
    </row>
    <row r="6" spans="1:9" ht="18.75" customHeight="1" x14ac:dyDescent="0.25">
      <c r="E6" s="6" t="s">
        <v>467</v>
      </c>
      <c r="H6" s="6"/>
      <c r="I6" s="6"/>
    </row>
    <row r="7" spans="1:9" ht="27.75" customHeight="1" x14ac:dyDescent="0.25">
      <c r="C7" s="146" t="s">
        <v>497</v>
      </c>
      <c r="D7" s="146"/>
      <c r="E7" s="146"/>
      <c r="F7" s="146"/>
      <c r="G7" s="146"/>
      <c r="H7" s="146"/>
      <c r="I7" s="146"/>
    </row>
    <row r="8" spans="1:9" ht="18" customHeight="1" x14ac:dyDescent="0.25">
      <c r="A8" s="159" t="s">
        <v>330</v>
      </c>
      <c r="B8" s="159"/>
      <c r="C8" s="159"/>
      <c r="D8" s="159"/>
      <c r="E8" s="159"/>
      <c r="F8" s="159"/>
      <c r="G8" s="159"/>
      <c r="H8" s="159"/>
      <c r="I8" s="159"/>
    </row>
    <row r="9" spans="1:9" ht="18" customHeight="1" x14ac:dyDescent="0.25">
      <c r="A9" s="159" t="s">
        <v>372</v>
      </c>
      <c r="B9" s="159"/>
      <c r="C9" s="159"/>
      <c r="D9" s="159"/>
      <c r="E9" s="159"/>
      <c r="F9" s="159"/>
      <c r="G9" s="159"/>
      <c r="H9" s="159"/>
      <c r="I9" s="159"/>
    </row>
    <row r="10" spans="1:9" ht="18" customHeight="1" x14ac:dyDescent="0.25">
      <c r="A10" s="159" t="s">
        <v>449</v>
      </c>
      <c r="B10" s="159"/>
      <c r="C10" s="159"/>
      <c r="D10" s="159"/>
      <c r="E10" s="159"/>
      <c r="F10" s="159"/>
      <c r="G10" s="159"/>
      <c r="H10" s="159"/>
      <c r="I10" s="159"/>
    </row>
    <row r="11" spans="1:9" ht="19.5" customHeight="1" x14ac:dyDescent="0.25">
      <c r="A11" s="26"/>
      <c r="B11" s="26"/>
      <c r="C11" s="26"/>
      <c r="D11" s="188" t="s">
        <v>463</v>
      </c>
      <c r="E11" s="188"/>
      <c r="F11" s="188"/>
      <c r="G11" s="188"/>
      <c r="H11" s="188"/>
      <c r="I11" s="188"/>
    </row>
    <row r="12" spans="1:9" hidden="1" x14ac:dyDescent="0.25">
      <c r="A12" s="183" t="s">
        <v>54</v>
      </c>
      <c r="B12" s="183" t="s">
        <v>160</v>
      </c>
      <c r="C12" s="183" t="s">
        <v>159</v>
      </c>
      <c r="D12" s="183" t="s">
        <v>204</v>
      </c>
      <c r="E12" s="183" t="s">
        <v>114</v>
      </c>
      <c r="F12" s="176" t="s">
        <v>115</v>
      </c>
      <c r="G12" s="179"/>
      <c r="H12" s="180"/>
      <c r="I12" s="181"/>
    </row>
    <row r="13" spans="1:9" ht="21.75" customHeight="1" x14ac:dyDescent="0.25">
      <c r="A13" s="183"/>
      <c r="B13" s="183"/>
      <c r="C13" s="183"/>
      <c r="D13" s="183"/>
      <c r="E13" s="183"/>
      <c r="F13" s="177"/>
      <c r="G13" s="183" t="s">
        <v>100</v>
      </c>
      <c r="H13" s="183"/>
      <c r="I13" s="176" t="s">
        <v>336</v>
      </c>
    </row>
    <row r="14" spans="1:9" ht="16.5" customHeight="1" x14ac:dyDescent="0.25">
      <c r="A14" s="183"/>
      <c r="B14" s="183"/>
      <c r="C14" s="183"/>
      <c r="D14" s="183"/>
      <c r="E14" s="183"/>
      <c r="F14" s="177"/>
      <c r="G14" s="183" t="s">
        <v>4</v>
      </c>
      <c r="H14" s="183" t="s">
        <v>101</v>
      </c>
      <c r="I14" s="177"/>
    </row>
    <row r="15" spans="1:9" ht="57.75" customHeight="1" x14ac:dyDescent="0.25">
      <c r="A15" s="183"/>
      <c r="B15" s="183"/>
      <c r="C15" s="183"/>
      <c r="D15" s="183"/>
      <c r="E15" s="183"/>
      <c r="F15" s="178"/>
      <c r="G15" s="183"/>
      <c r="H15" s="183"/>
      <c r="I15" s="178"/>
    </row>
    <row r="16" spans="1:9" ht="17.25" customHeight="1" x14ac:dyDescent="0.25">
      <c r="A16" s="27" t="s">
        <v>31</v>
      </c>
      <c r="B16" s="27" t="s">
        <v>116</v>
      </c>
      <c r="C16" s="27" t="s">
        <v>116</v>
      </c>
      <c r="D16" s="144" t="s">
        <v>8</v>
      </c>
      <c r="E16" s="5" t="s">
        <v>117</v>
      </c>
      <c r="F16" s="56">
        <f t="shared" ref="F16:F65" si="0">SUM(G16+I16)</f>
        <v>0.4</v>
      </c>
      <c r="G16" s="49">
        <v>0.4</v>
      </c>
      <c r="H16" s="49">
        <v>0.3</v>
      </c>
      <c r="I16" s="49"/>
    </row>
    <row r="17" spans="1:9" ht="17.25" customHeight="1" x14ac:dyDescent="0.25">
      <c r="A17" s="27" t="s">
        <v>32</v>
      </c>
      <c r="B17" s="27" t="s">
        <v>116</v>
      </c>
      <c r="C17" s="27" t="s">
        <v>116</v>
      </c>
      <c r="D17" s="144" t="s">
        <v>8</v>
      </c>
      <c r="E17" s="5" t="s">
        <v>201</v>
      </c>
      <c r="F17" s="56">
        <f t="shared" si="0"/>
        <v>0.6</v>
      </c>
      <c r="G17" s="49">
        <v>0.6</v>
      </c>
      <c r="H17" s="49">
        <v>0.5</v>
      </c>
      <c r="I17" s="49"/>
    </row>
    <row r="18" spans="1:9" ht="17.25" customHeight="1" x14ac:dyDescent="0.25">
      <c r="A18" s="27" t="s">
        <v>33</v>
      </c>
      <c r="B18" s="27" t="s">
        <v>116</v>
      </c>
      <c r="C18" s="27" t="s">
        <v>116</v>
      </c>
      <c r="D18" s="144" t="s">
        <v>8</v>
      </c>
      <c r="E18" s="5" t="s">
        <v>118</v>
      </c>
      <c r="F18" s="58">
        <f t="shared" si="0"/>
        <v>11</v>
      </c>
      <c r="G18" s="148">
        <f>11.7-0.7</f>
        <v>11</v>
      </c>
      <c r="H18" s="49">
        <f>7.4-0.5-0.8</f>
        <v>6.1000000000000005</v>
      </c>
      <c r="I18" s="49"/>
    </row>
    <row r="19" spans="1:9" ht="17.25" customHeight="1" x14ac:dyDescent="0.25">
      <c r="A19" s="27" t="s">
        <v>34</v>
      </c>
      <c r="B19" s="27" t="s">
        <v>116</v>
      </c>
      <c r="C19" s="27" t="s">
        <v>116</v>
      </c>
      <c r="D19" s="144" t="s">
        <v>8</v>
      </c>
      <c r="E19" s="5" t="s">
        <v>310</v>
      </c>
      <c r="F19" s="56">
        <f t="shared" si="0"/>
        <v>49.2</v>
      </c>
      <c r="G19" s="49">
        <v>49.2</v>
      </c>
      <c r="H19" s="49">
        <f>35.1-3.2</f>
        <v>31.900000000000002</v>
      </c>
      <c r="I19" s="49"/>
    </row>
    <row r="20" spans="1:9" ht="17.25" customHeight="1" x14ac:dyDescent="0.25">
      <c r="A20" s="27" t="s">
        <v>35</v>
      </c>
      <c r="B20" s="27" t="s">
        <v>116</v>
      </c>
      <c r="C20" s="27" t="s">
        <v>116</v>
      </c>
      <c r="D20" s="144" t="s">
        <v>8</v>
      </c>
      <c r="E20" s="5" t="s">
        <v>311</v>
      </c>
      <c r="F20" s="56">
        <f t="shared" si="0"/>
        <v>11.8</v>
      </c>
      <c r="G20" s="49">
        <v>11.8</v>
      </c>
      <c r="H20" s="49">
        <f>8.8-0.7</f>
        <v>8.1000000000000014</v>
      </c>
      <c r="I20" s="49"/>
    </row>
    <row r="21" spans="1:9" ht="17.25" customHeight="1" x14ac:dyDescent="0.25">
      <c r="A21" s="27" t="s">
        <v>36</v>
      </c>
      <c r="B21" s="27" t="s">
        <v>116</v>
      </c>
      <c r="C21" s="27" t="s">
        <v>116</v>
      </c>
      <c r="D21" s="144" t="s">
        <v>8</v>
      </c>
      <c r="E21" s="5" t="s">
        <v>170</v>
      </c>
      <c r="F21" s="56">
        <f t="shared" si="0"/>
        <v>7.6</v>
      </c>
      <c r="G21" s="49">
        <v>7.6</v>
      </c>
      <c r="H21" s="49">
        <v>5.8</v>
      </c>
      <c r="I21" s="49"/>
    </row>
    <row r="22" spans="1:9" ht="17.25" customHeight="1" x14ac:dyDescent="0.25">
      <c r="A22" s="28" t="s">
        <v>37</v>
      </c>
      <c r="B22" s="27" t="s">
        <v>116</v>
      </c>
      <c r="C22" s="27" t="s">
        <v>116</v>
      </c>
      <c r="D22" s="144" t="s">
        <v>8</v>
      </c>
      <c r="E22" s="5" t="s">
        <v>119</v>
      </c>
      <c r="F22" s="56">
        <f t="shared" si="0"/>
        <v>24.400000000000002</v>
      </c>
      <c r="G22" s="49">
        <f>24.3+0.1</f>
        <v>24.400000000000002</v>
      </c>
      <c r="H22" s="49">
        <f>18.6+0.1</f>
        <v>18.700000000000003</v>
      </c>
      <c r="I22" s="49"/>
    </row>
    <row r="23" spans="1:9" ht="17.25" customHeight="1" x14ac:dyDescent="0.25">
      <c r="A23" s="27" t="s">
        <v>38</v>
      </c>
      <c r="B23" s="27" t="s">
        <v>116</v>
      </c>
      <c r="C23" s="27" t="s">
        <v>116</v>
      </c>
      <c r="D23" s="144" t="s">
        <v>8</v>
      </c>
      <c r="E23" s="4" t="s">
        <v>120</v>
      </c>
      <c r="F23" s="56">
        <f t="shared" si="0"/>
        <v>10.6</v>
      </c>
      <c r="G23" s="57">
        <v>10.6</v>
      </c>
      <c r="H23" s="57"/>
      <c r="I23" s="57"/>
    </row>
    <row r="24" spans="1:9" ht="31.5" customHeight="1" x14ac:dyDescent="0.25">
      <c r="A24" s="29" t="s">
        <v>39</v>
      </c>
      <c r="B24" s="27" t="s">
        <v>116</v>
      </c>
      <c r="C24" s="27" t="s">
        <v>116</v>
      </c>
      <c r="D24" s="14" t="s">
        <v>8</v>
      </c>
      <c r="E24" s="151" t="s">
        <v>314</v>
      </c>
      <c r="F24" s="56">
        <f t="shared" si="0"/>
        <v>0.7</v>
      </c>
      <c r="G24" s="49">
        <v>0.7</v>
      </c>
      <c r="H24" s="49"/>
      <c r="I24" s="49"/>
    </row>
    <row r="25" spans="1:9" ht="17.25" customHeight="1" x14ac:dyDescent="0.25">
      <c r="A25" s="29" t="s">
        <v>40</v>
      </c>
      <c r="B25" s="27" t="s">
        <v>116</v>
      </c>
      <c r="C25" s="27" t="s">
        <v>116</v>
      </c>
      <c r="D25" s="144" t="s">
        <v>8</v>
      </c>
      <c r="E25" s="10" t="s">
        <v>121</v>
      </c>
      <c r="F25" s="56">
        <f t="shared" si="0"/>
        <v>7.2</v>
      </c>
      <c r="G25" s="49">
        <v>7.2</v>
      </c>
      <c r="H25" s="49">
        <f>5.5-0.8</f>
        <v>4.7</v>
      </c>
      <c r="I25" s="49"/>
    </row>
    <row r="26" spans="1:9" ht="17.25" customHeight="1" x14ac:dyDescent="0.25">
      <c r="A26" s="29" t="s">
        <v>41</v>
      </c>
      <c r="B26" s="27" t="s">
        <v>116</v>
      </c>
      <c r="C26" s="27" t="s">
        <v>148</v>
      </c>
      <c r="D26" s="144" t="s">
        <v>8</v>
      </c>
      <c r="E26" s="5" t="s">
        <v>123</v>
      </c>
      <c r="F26" s="56">
        <f t="shared" si="0"/>
        <v>6.5</v>
      </c>
      <c r="G26" s="49">
        <v>6.5</v>
      </c>
      <c r="H26" s="49">
        <f>4.4-1.1</f>
        <v>3.3000000000000003</v>
      </c>
      <c r="I26" s="49"/>
    </row>
    <row r="27" spans="1:9" ht="17.25" customHeight="1" x14ac:dyDescent="0.25">
      <c r="A27" s="27" t="s">
        <v>42</v>
      </c>
      <c r="B27" s="27" t="s">
        <v>116</v>
      </c>
      <c r="C27" s="27" t="s">
        <v>148</v>
      </c>
      <c r="D27" s="144" t="s">
        <v>8</v>
      </c>
      <c r="E27" s="10" t="s">
        <v>124</v>
      </c>
      <c r="F27" s="56">
        <f t="shared" si="0"/>
        <v>13.5</v>
      </c>
      <c r="G27" s="49">
        <v>13.5</v>
      </c>
      <c r="H27" s="49">
        <f>8.5-2.9</f>
        <v>5.6</v>
      </c>
      <c r="I27" s="49"/>
    </row>
    <row r="28" spans="1:9" ht="17.25" customHeight="1" x14ac:dyDescent="0.25">
      <c r="A28" s="27" t="s">
        <v>43</v>
      </c>
      <c r="B28" s="27" t="s">
        <v>150</v>
      </c>
      <c r="C28" s="27" t="s">
        <v>145</v>
      </c>
      <c r="D28" s="144" t="s">
        <v>395</v>
      </c>
      <c r="E28" s="1" t="s">
        <v>285</v>
      </c>
      <c r="F28" s="49">
        <f t="shared" si="0"/>
        <v>497.8</v>
      </c>
      <c r="G28" s="49">
        <f>478.3+19.5</f>
        <v>497.8</v>
      </c>
      <c r="H28" s="148">
        <f>310-6</f>
        <v>304</v>
      </c>
      <c r="I28" s="49"/>
    </row>
    <row r="29" spans="1:9" ht="17.25" customHeight="1" x14ac:dyDescent="0.25">
      <c r="A29" s="29" t="s">
        <v>44</v>
      </c>
      <c r="B29" s="27" t="s">
        <v>116</v>
      </c>
      <c r="C29" s="27" t="s">
        <v>149</v>
      </c>
      <c r="D29" s="144" t="s">
        <v>8</v>
      </c>
      <c r="E29" s="16" t="s">
        <v>125</v>
      </c>
      <c r="F29" s="148">
        <f t="shared" si="0"/>
        <v>194</v>
      </c>
      <c r="G29" s="148">
        <f>191.7+2.3</f>
        <v>194</v>
      </c>
      <c r="H29" s="148">
        <f>125+1.8-3.5</f>
        <v>123.3</v>
      </c>
      <c r="I29" s="49"/>
    </row>
    <row r="30" spans="1:9" ht="17.25" customHeight="1" x14ac:dyDescent="0.25">
      <c r="A30" s="29" t="s">
        <v>45</v>
      </c>
      <c r="B30" s="27" t="s">
        <v>146</v>
      </c>
      <c r="C30" s="27" t="s">
        <v>149</v>
      </c>
      <c r="D30" s="14" t="s">
        <v>8</v>
      </c>
      <c r="E30" s="30" t="s">
        <v>189</v>
      </c>
      <c r="F30" s="66">
        <f t="shared" si="0"/>
        <v>153.80000000000001</v>
      </c>
      <c r="G30" s="148">
        <f>153+0.8</f>
        <v>153.80000000000001</v>
      </c>
      <c r="H30" s="49">
        <f>15.9+1.2-0.2</f>
        <v>16.900000000000002</v>
      </c>
      <c r="I30" s="49"/>
    </row>
    <row r="31" spans="1:9" ht="17.25" customHeight="1" x14ac:dyDescent="0.25">
      <c r="A31" s="29" t="s">
        <v>46</v>
      </c>
      <c r="B31" s="27" t="s">
        <v>151</v>
      </c>
      <c r="C31" s="27" t="s">
        <v>149</v>
      </c>
      <c r="D31" s="144" t="s">
        <v>8</v>
      </c>
      <c r="E31" s="10" t="s">
        <v>122</v>
      </c>
      <c r="F31" s="66">
        <f t="shared" si="0"/>
        <v>210</v>
      </c>
      <c r="G31" s="148">
        <v>210</v>
      </c>
      <c r="H31" s="49">
        <f>9.8-3</f>
        <v>6.8000000000000007</v>
      </c>
      <c r="I31" s="49"/>
    </row>
    <row r="32" spans="1:9" ht="17.25" customHeight="1" x14ac:dyDescent="0.25">
      <c r="A32" s="29" t="s">
        <v>47</v>
      </c>
      <c r="B32" s="27" t="s">
        <v>46</v>
      </c>
      <c r="C32" s="27" t="s">
        <v>40</v>
      </c>
      <c r="D32" s="14" t="s">
        <v>8</v>
      </c>
      <c r="E32" s="10" t="s">
        <v>126</v>
      </c>
      <c r="F32" s="149">
        <f t="shared" si="0"/>
        <v>137.9</v>
      </c>
      <c r="G32" s="49">
        <v>137.9</v>
      </c>
      <c r="H32" s="49"/>
      <c r="I32" s="49"/>
    </row>
    <row r="33" spans="1:9" ht="17.25" customHeight="1" x14ac:dyDescent="0.25">
      <c r="A33" s="27" t="s">
        <v>313</v>
      </c>
      <c r="B33" s="27" t="s">
        <v>116</v>
      </c>
      <c r="C33" s="27" t="s">
        <v>40</v>
      </c>
      <c r="D33" s="144" t="s">
        <v>8</v>
      </c>
      <c r="E33" s="21" t="s">
        <v>354</v>
      </c>
      <c r="F33" s="56">
        <f t="shared" si="0"/>
        <v>3.4</v>
      </c>
      <c r="G33" s="49">
        <v>3.4</v>
      </c>
      <c r="H33" s="49">
        <v>2.6</v>
      </c>
      <c r="I33" s="143"/>
    </row>
    <row r="34" spans="1:9" ht="47.25" customHeight="1" x14ac:dyDescent="0.25">
      <c r="A34" s="27" t="s">
        <v>48</v>
      </c>
      <c r="B34" s="27" t="s">
        <v>46</v>
      </c>
      <c r="C34" s="27" t="s">
        <v>40</v>
      </c>
      <c r="D34" s="144" t="s">
        <v>8</v>
      </c>
      <c r="E34" s="71" t="s">
        <v>378</v>
      </c>
      <c r="F34" s="49">
        <f t="shared" si="0"/>
        <v>0.3</v>
      </c>
      <c r="G34" s="49">
        <v>0.3</v>
      </c>
      <c r="H34" s="49"/>
      <c r="I34" s="143"/>
    </row>
    <row r="35" spans="1:9" ht="17.25" customHeight="1" x14ac:dyDescent="0.25">
      <c r="A35" s="27" t="s">
        <v>49</v>
      </c>
      <c r="B35" s="27" t="s">
        <v>46</v>
      </c>
      <c r="C35" s="27" t="s">
        <v>40</v>
      </c>
      <c r="D35" s="144" t="s">
        <v>8</v>
      </c>
      <c r="E35" s="1" t="s">
        <v>127</v>
      </c>
      <c r="F35" s="148">
        <f t="shared" si="0"/>
        <v>47</v>
      </c>
      <c r="G35" s="148">
        <f>57-10</f>
        <v>47</v>
      </c>
      <c r="H35" s="49"/>
      <c r="I35" s="143"/>
    </row>
    <row r="36" spans="1:9" ht="17.25" customHeight="1" x14ac:dyDescent="0.25">
      <c r="A36" s="27" t="s">
        <v>446</v>
      </c>
      <c r="B36" s="27">
        <v>1</v>
      </c>
      <c r="C36" s="27" t="s">
        <v>40</v>
      </c>
      <c r="D36" s="144" t="s">
        <v>8</v>
      </c>
      <c r="E36" s="21" t="s">
        <v>354</v>
      </c>
      <c r="F36" s="58">
        <f t="shared" si="0"/>
        <v>9.2999999999999989</v>
      </c>
      <c r="G36" s="148">
        <f>9.7-0.4</f>
        <v>9.2999999999999989</v>
      </c>
      <c r="H36" s="49">
        <f>7.4-0.3</f>
        <v>7.1000000000000005</v>
      </c>
      <c r="I36" s="143"/>
    </row>
    <row r="37" spans="1:9" ht="30.75" customHeight="1" x14ac:dyDescent="0.25">
      <c r="A37" s="27" t="s">
        <v>50</v>
      </c>
      <c r="B37" s="27" t="s">
        <v>46</v>
      </c>
      <c r="C37" s="27" t="s">
        <v>40</v>
      </c>
      <c r="D37" s="20" t="s">
        <v>316</v>
      </c>
      <c r="E37" s="21" t="s">
        <v>127</v>
      </c>
      <c r="F37" s="58">
        <f t="shared" si="0"/>
        <v>10</v>
      </c>
      <c r="G37" s="148">
        <v>10</v>
      </c>
      <c r="H37" s="49"/>
      <c r="I37" s="143"/>
    </row>
    <row r="38" spans="1:9" ht="33" customHeight="1" x14ac:dyDescent="0.25">
      <c r="A38" s="27" t="s">
        <v>51</v>
      </c>
      <c r="B38" s="27" t="s">
        <v>46</v>
      </c>
      <c r="C38" s="27" t="s">
        <v>40</v>
      </c>
      <c r="D38" s="144" t="s">
        <v>317</v>
      </c>
      <c r="E38" s="21" t="s">
        <v>127</v>
      </c>
      <c r="F38" s="58">
        <f t="shared" si="0"/>
        <v>10</v>
      </c>
      <c r="G38" s="148">
        <v>10</v>
      </c>
      <c r="H38" s="49"/>
      <c r="I38" s="143"/>
    </row>
    <row r="39" spans="1:9" ht="29.25" customHeight="1" x14ac:dyDescent="0.25">
      <c r="A39" s="27" t="s">
        <v>52</v>
      </c>
      <c r="B39" s="27" t="s">
        <v>46</v>
      </c>
      <c r="C39" s="27" t="s">
        <v>40</v>
      </c>
      <c r="D39" s="144" t="s">
        <v>318</v>
      </c>
      <c r="E39" s="21" t="s">
        <v>127</v>
      </c>
      <c r="F39" s="58">
        <f t="shared" si="0"/>
        <v>0</v>
      </c>
      <c r="G39" s="148">
        <f>0.2-0.2</f>
        <v>0</v>
      </c>
      <c r="H39" s="49"/>
      <c r="I39" s="143"/>
    </row>
    <row r="40" spans="1:9" ht="19.5" customHeight="1" x14ac:dyDescent="0.25">
      <c r="A40" s="27" t="s">
        <v>53</v>
      </c>
      <c r="B40" s="27" t="s">
        <v>46</v>
      </c>
      <c r="C40" s="27" t="s">
        <v>40</v>
      </c>
      <c r="D40" s="144" t="s">
        <v>319</v>
      </c>
      <c r="E40" s="21" t="s">
        <v>127</v>
      </c>
      <c r="F40" s="58">
        <f t="shared" si="0"/>
        <v>14</v>
      </c>
      <c r="G40" s="148">
        <v>14</v>
      </c>
      <c r="H40" s="49"/>
      <c r="I40" s="143"/>
    </row>
    <row r="41" spans="1:9" ht="29.25" customHeight="1" x14ac:dyDescent="0.25">
      <c r="A41" s="27" t="s">
        <v>63</v>
      </c>
      <c r="B41" s="27" t="s">
        <v>46</v>
      </c>
      <c r="C41" s="27" t="s">
        <v>40</v>
      </c>
      <c r="D41" s="144" t="s">
        <v>321</v>
      </c>
      <c r="E41" s="21" t="s">
        <v>127</v>
      </c>
      <c r="F41" s="58">
        <f t="shared" si="0"/>
        <v>12</v>
      </c>
      <c r="G41" s="148">
        <v>12</v>
      </c>
      <c r="H41" s="49"/>
      <c r="I41" s="143"/>
    </row>
    <row r="42" spans="1:9" ht="19.5" customHeight="1" x14ac:dyDescent="0.25">
      <c r="A42" s="27" t="s">
        <v>75</v>
      </c>
      <c r="B42" s="27" t="s">
        <v>46</v>
      </c>
      <c r="C42" s="27" t="s">
        <v>40</v>
      </c>
      <c r="D42" s="22" t="s">
        <v>322</v>
      </c>
      <c r="E42" s="21" t="s">
        <v>127</v>
      </c>
      <c r="F42" s="58">
        <f t="shared" si="0"/>
        <v>8</v>
      </c>
      <c r="G42" s="148">
        <v>8</v>
      </c>
      <c r="H42" s="49"/>
      <c r="I42" s="143"/>
    </row>
    <row r="43" spans="1:9" ht="19.5" customHeight="1" x14ac:dyDescent="0.25">
      <c r="A43" s="27" t="s">
        <v>109</v>
      </c>
      <c r="B43" s="27" t="s">
        <v>46</v>
      </c>
      <c r="C43" s="27" t="s">
        <v>40</v>
      </c>
      <c r="D43" s="22" t="s">
        <v>323</v>
      </c>
      <c r="E43" s="21" t="s">
        <v>127</v>
      </c>
      <c r="F43" s="58">
        <f t="shared" si="0"/>
        <v>12</v>
      </c>
      <c r="G43" s="148">
        <v>12</v>
      </c>
      <c r="H43" s="49"/>
      <c r="I43" s="143"/>
    </row>
    <row r="44" spans="1:9" ht="19.5" customHeight="1" x14ac:dyDescent="0.25">
      <c r="A44" s="27" t="s">
        <v>111</v>
      </c>
      <c r="B44" s="27" t="s">
        <v>46</v>
      </c>
      <c r="C44" s="27" t="s">
        <v>40</v>
      </c>
      <c r="D44" s="22" t="s">
        <v>324</v>
      </c>
      <c r="E44" s="21" t="s">
        <v>127</v>
      </c>
      <c r="F44" s="58">
        <f t="shared" si="0"/>
        <v>11</v>
      </c>
      <c r="G44" s="148">
        <v>11</v>
      </c>
      <c r="H44" s="49"/>
      <c r="I44" s="143"/>
    </row>
    <row r="45" spans="1:9" ht="19.5" customHeight="1" x14ac:dyDescent="0.25">
      <c r="A45" s="27" t="s">
        <v>222</v>
      </c>
      <c r="B45" s="27" t="s">
        <v>46</v>
      </c>
      <c r="C45" s="27" t="s">
        <v>40</v>
      </c>
      <c r="D45" s="1" t="s">
        <v>325</v>
      </c>
      <c r="E45" s="1" t="s">
        <v>127</v>
      </c>
      <c r="F45" s="58">
        <f t="shared" si="0"/>
        <v>14</v>
      </c>
      <c r="G45" s="148">
        <v>14</v>
      </c>
      <c r="H45" s="49"/>
      <c r="I45" s="143"/>
    </row>
    <row r="46" spans="1:9" ht="19.5" customHeight="1" x14ac:dyDescent="0.25">
      <c r="A46" s="27" t="s">
        <v>128</v>
      </c>
      <c r="B46" s="27" t="s">
        <v>46</v>
      </c>
      <c r="C46" s="27" t="s">
        <v>40</v>
      </c>
      <c r="D46" s="1" t="s">
        <v>326</v>
      </c>
      <c r="E46" s="1" t="s">
        <v>127</v>
      </c>
      <c r="F46" s="148">
        <f t="shared" si="0"/>
        <v>11</v>
      </c>
      <c r="G46" s="148">
        <v>11</v>
      </c>
      <c r="H46" s="49"/>
      <c r="I46" s="143"/>
    </row>
    <row r="47" spans="1:9" ht="19.5" customHeight="1" x14ac:dyDescent="0.25">
      <c r="A47" s="27" t="s">
        <v>129</v>
      </c>
      <c r="B47" s="27" t="s">
        <v>46</v>
      </c>
      <c r="C47" s="27" t="s">
        <v>40</v>
      </c>
      <c r="D47" s="6" t="s">
        <v>376</v>
      </c>
      <c r="E47" s="1" t="s">
        <v>127</v>
      </c>
      <c r="F47" s="58">
        <f t="shared" si="0"/>
        <v>23</v>
      </c>
      <c r="G47" s="148">
        <v>23</v>
      </c>
      <c r="H47" s="49"/>
      <c r="I47" s="143"/>
    </row>
    <row r="48" spans="1:9" ht="30.75" customHeight="1" x14ac:dyDescent="0.25">
      <c r="A48" s="27" t="s">
        <v>130</v>
      </c>
      <c r="B48" s="27" t="s">
        <v>46</v>
      </c>
      <c r="C48" s="27" t="s">
        <v>40</v>
      </c>
      <c r="D48" s="144" t="s">
        <v>328</v>
      </c>
      <c r="E48" s="1" t="s">
        <v>127</v>
      </c>
      <c r="F48" s="148">
        <f t="shared" si="0"/>
        <v>28.2</v>
      </c>
      <c r="G48" s="148">
        <f>28+0.2</f>
        <v>28.2</v>
      </c>
      <c r="H48" s="49"/>
      <c r="I48" s="143"/>
    </row>
    <row r="49" spans="1:9" ht="37.5" customHeight="1" x14ac:dyDescent="0.25">
      <c r="A49" s="27" t="s">
        <v>131</v>
      </c>
      <c r="B49" s="27" t="s">
        <v>46</v>
      </c>
      <c r="C49" s="27" t="s">
        <v>40</v>
      </c>
      <c r="D49" s="144" t="s">
        <v>327</v>
      </c>
      <c r="E49" s="1" t="s">
        <v>127</v>
      </c>
      <c r="F49" s="148">
        <f t="shared" si="0"/>
        <v>33.5</v>
      </c>
      <c r="G49" s="148">
        <v>33.5</v>
      </c>
      <c r="H49" s="49"/>
      <c r="I49" s="143"/>
    </row>
    <row r="50" spans="1:9" ht="17.25" customHeight="1" x14ac:dyDescent="0.25">
      <c r="A50" s="27" t="s">
        <v>132</v>
      </c>
      <c r="B50" s="27" t="s">
        <v>41</v>
      </c>
      <c r="C50" s="27" t="s">
        <v>40</v>
      </c>
      <c r="D50" s="22" t="s">
        <v>8</v>
      </c>
      <c r="E50" s="21" t="s">
        <v>355</v>
      </c>
      <c r="F50" s="149">
        <f t="shared" si="0"/>
        <v>0.29999999999999993</v>
      </c>
      <c r="G50" s="83">
        <f>0.7-0.4</f>
        <v>0.29999999999999993</v>
      </c>
      <c r="H50" s="49"/>
      <c r="I50" s="143"/>
    </row>
    <row r="51" spans="1:9" ht="17.25" customHeight="1" x14ac:dyDescent="0.25">
      <c r="A51" s="27" t="s">
        <v>447</v>
      </c>
      <c r="B51" s="27" t="s">
        <v>116</v>
      </c>
      <c r="C51" s="27" t="s">
        <v>40</v>
      </c>
      <c r="D51" s="22" t="s">
        <v>8</v>
      </c>
      <c r="E51" s="21" t="s">
        <v>354</v>
      </c>
      <c r="F51" s="56">
        <f t="shared" si="0"/>
        <v>0</v>
      </c>
      <c r="G51" s="65"/>
      <c r="H51" s="49"/>
      <c r="I51" s="143"/>
    </row>
    <row r="52" spans="1:9" ht="17.25" customHeight="1" x14ac:dyDescent="0.25">
      <c r="A52" s="27" t="s">
        <v>133</v>
      </c>
      <c r="B52" s="27" t="s">
        <v>46</v>
      </c>
      <c r="C52" s="27" t="s">
        <v>40</v>
      </c>
      <c r="D52" s="22" t="s">
        <v>8</v>
      </c>
      <c r="E52" s="21" t="s">
        <v>157</v>
      </c>
      <c r="F52" s="58">
        <f t="shared" si="0"/>
        <v>287.89999999999998</v>
      </c>
      <c r="G52" s="65">
        <f>249+38.9</f>
        <v>287.89999999999998</v>
      </c>
      <c r="H52" s="49"/>
      <c r="I52" s="143"/>
    </row>
    <row r="53" spans="1:9" ht="17.25" customHeight="1" x14ac:dyDescent="0.25">
      <c r="A53" s="31" t="s">
        <v>356</v>
      </c>
      <c r="B53" s="27" t="s">
        <v>116</v>
      </c>
      <c r="C53" s="27" t="s">
        <v>40</v>
      </c>
      <c r="D53" s="144" t="s">
        <v>8</v>
      </c>
      <c r="E53" s="10" t="s">
        <v>354</v>
      </c>
      <c r="F53" s="149">
        <f t="shared" si="0"/>
        <v>8.6999999999999993</v>
      </c>
      <c r="G53" s="65">
        <f>7.5+1.2</f>
        <v>8.6999999999999993</v>
      </c>
      <c r="H53" s="49">
        <f>5.7-2.8</f>
        <v>2.9000000000000004</v>
      </c>
      <c r="I53" s="143"/>
    </row>
    <row r="54" spans="1:9" ht="17.25" customHeight="1" x14ac:dyDescent="0.25">
      <c r="A54" s="31" t="s">
        <v>134</v>
      </c>
      <c r="B54" s="27" t="s">
        <v>46</v>
      </c>
      <c r="C54" s="27" t="s">
        <v>40</v>
      </c>
      <c r="D54" s="144" t="s">
        <v>8</v>
      </c>
      <c r="E54" s="10" t="s">
        <v>161</v>
      </c>
      <c r="F54" s="149">
        <f t="shared" si="0"/>
        <v>146.5</v>
      </c>
      <c r="G54" s="83">
        <v>146.5</v>
      </c>
      <c r="H54" s="49"/>
      <c r="I54" s="143"/>
    </row>
    <row r="55" spans="1:9" ht="17.25" customHeight="1" x14ac:dyDescent="0.25">
      <c r="A55" s="31" t="s">
        <v>135</v>
      </c>
      <c r="B55" s="27" t="s">
        <v>42</v>
      </c>
      <c r="C55" s="27" t="s">
        <v>146</v>
      </c>
      <c r="D55" s="144" t="s">
        <v>112</v>
      </c>
      <c r="E55" s="21" t="s">
        <v>357</v>
      </c>
      <c r="F55" s="66">
        <f t="shared" si="0"/>
        <v>38.799999999999997</v>
      </c>
      <c r="G55" s="65">
        <f>38+0.8</f>
        <v>38.799999999999997</v>
      </c>
      <c r="H55" s="49">
        <f>25.1+0.6</f>
        <v>25.700000000000003</v>
      </c>
      <c r="I55" s="143"/>
    </row>
    <row r="56" spans="1:9" ht="17.25" customHeight="1" x14ac:dyDescent="0.25">
      <c r="A56" s="31" t="s">
        <v>136</v>
      </c>
      <c r="B56" s="27" t="s">
        <v>42</v>
      </c>
      <c r="C56" s="27" t="s">
        <v>146</v>
      </c>
      <c r="D56" s="144" t="s">
        <v>112</v>
      </c>
      <c r="E56" s="10" t="s">
        <v>358</v>
      </c>
      <c r="F56" s="149">
        <f t="shared" si="0"/>
        <v>32.5</v>
      </c>
      <c r="G56" s="83">
        <f>32.1+0.4</f>
        <v>32.5</v>
      </c>
      <c r="H56" s="49">
        <f>22.6+0.2</f>
        <v>22.8</v>
      </c>
      <c r="I56" s="143"/>
    </row>
    <row r="57" spans="1:9" ht="17.25" customHeight="1" x14ac:dyDescent="0.25">
      <c r="A57" s="27" t="s">
        <v>137</v>
      </c>
      <c r="B57" s="27" t="s">
        <v>43</v>
      </c>
      <c r="C57" s="27" t="s">
        <v>150</v>
      </c>
      <c r="D57" s="1" t="s">
        <v>17</v>
      </c>
      <c r="E57" s="10" t="s">
        <v>476</v>
      </c>
      <c r="F57" s="149">
        <f t="shared" si="0"/>
        <v>23.1</v>
      </c>
      <c r="G57" s="83">
        <v>23.1</v>
      </c>
      <c r="H57" s="49">
        <v>17.600000000000001</v>
      </c>
      <c r="I57" s="143"/>
    </row>
    <row r="58" spans="1:9" ht="17.25" customHeight="1" x14ac:dyDescent="0.25">
      <c r="A58" s="27" t="s">
        <v>162</v>
      </c>
      <c r="B58" s="27" t="s">
        <v>43</v>
      </c>
      <c r="C58" s="27" t="s">
        <v>150</v>
      </c>
      <c r="D58" s="19" t="s">
        <v>18</v>
      </c>
      <c r="E58" s="10" t="s">
        <v>476</v>
      </c>
      <c r="F58" s="149">
        <f t="shared" si="0"/>
        <v>4.9000000000000004</v>
      </c>
      <c r="G58" s="83">
        <v>4.9000000000000004</v>
      </c>
      <c r="H58" s="49">
        <v>3.7</v>
      </c>
      <c r="I58" s="143"/>
    </row>
    <row r="59" spans="1:9" ht="33.75" customHeight="1" x14ac:dyDescent="0.25">
      <c r="A59" s="27" t="s">
        <v>163</v>
      </c>
      <c r="B59" s="27" t="s">
        <v>43</v>
      </c>
      <c r="C59" s="27" t="s">
        <v>150</v>
      </c>
      <c r="D59" s="144" t="s">
        <v>8</v>
      </c>
      <c r="E59" s="121" t="s">
        <v>477</v>
      </c>
      <c r="F59" s="149">
        <f t="shared" si="0"/>
        <v>19.5</v>
      </c>
      <c r="G59" s="83">
        <v>19.5</v>
      </c>
      <c r="H59" s="49"/>
      <c r="I59" s="143"/>
    </row>
    <row r="60" spans="1:9" ht="17.25" customHeight="1" x14ac:dyDescent="0.25">
      <c r="A60" s="27" t="s">
        <v>164</v>
      </c>
      <c r="B60" s="27" t="s">
        <v>43</v>
      </c>
      <c r="C60" s="27" t="s">
        <v>150</v>
      </c>
      <c r="D60" s="144" t="s">
        <v>8</v>
      </c>
      <c r="E60" s="10" t="s">
        <v>368</v>
      </c>
      <c r="F60" s="66">
        <f t="shared" si="0"/>
        <v>195</v>
      </c>
      <c r="G60" s="65"/>
      <c r="H60" s="148"/>
      <c r="I60" s="148">
        <f>150+45</f>
        <v>195</v>
      </c>
    </row>
    <row r="61" spans="1:9" ht="17.25" customHeight="1" x14ac:dyDescent="0.25">
      <c r="A61" s="27" t="s">
        <v>165</v>
      </c>
      <c r="B61" s="27" t="s">
        <v>42</v>
      </c>
      <c r="C61" s="27" t="s">
        <v>146</v>
      </c>
      <c r="D61" s="144" t="s">
        <v>8</v>
      </c>
      <c r="E61" s="10" t="s">
        <v>339</v>
      </c>
      <c r="F61" s="66">
        <f t="shared" si="0"/>
        <v>101</v>
      </c>
      <c r="G61" s="65"/>
      <c r="H61" s="148"/>
      <c r="I61" s="148">
        <v>101</v>
      </c>
    </row>
    <row r="62" spans="1:9" ht="20.25" customHeight="1" x14ac:dyDescent="0.25">
      <c r="A62" s="27" t="s">
        <v>166</v>
      </c>
      <c r="B62" s="27" t="s">
        <v>150</v>
      </c>
      <c r="C62" s="27" t="s">
        <v>149</v>
      </c>
      <c r="D62" s="144" t="s">
        <v>8</v>
      </c>
      <c r="E62" s="1" t="s">
        <v>373</v>
      </c>
      <c r="F62" s="148">
        <f t="shared" si="0"/>
        <v>1495</v>
      </c>
      <c r="G62" s="83">
        <f>420.9+35</f>
        <v>455.9</v>
      </c>
      <c r="H62" s="49"/>
      <c r="I62" s="49">
        <f>906.2+100.8-100.8+132.9</f>
        <v>1039.1000000000001</v>
      </c>
    </row>
    <row r="63" spans="1:9" ht="20.25" customHeight="1" x14ac:dyDescent="0.25">
      <c r="A63" s="27" t="s">
        <v>223</v>
      </c>
      <c r="B63" s="27" t="s">
        <v>45</v>
      </c>
      <c r="C63" s="27" t="s">
        <v>147</v>
      </c>
      <c r="D63" s="6" t="s">
        <v>376</v>
      </c>
      <c r="E63" s="1" t="s">
        <v>479</v>
      </c>
      <c r="F63" s="148">
        <f t="shared" si="0"/>
        <v>103</v>
      </c>
      <c r="G63" s="65"/>
      <c r="H63" s="148"/>
      <c r="I63" s="148">
        <v>103</v>
      </c>
    </row>
    <row r="64" spans="1:9" ht="30.75" customHeight="1" x14ac:dyDescent="0.25">
      <c r="A64" s="27" t="s">
        <v>224</v>
      </c>
      <c r="B64" s="27" t="s">
        <v>45</v>
      </c>
      <c r="C64" s="27" t="s">
        <v>147</v>
      </c>
      <c r="D64" s="144" t="s">
        <v>327</v>
      </c>
      <c r="E64" s="1" t="s">
        <v>331</v>
      </c>
      <c r="F64" s="148">
        <f t="shared" si="0"/>
        <v>17.2</v>
      </c>
      <c r="G64" s="148">
        <f>17+0.2</f>
        <v>17.2</v>
      </c>
      <c r="H64" s="49">
        <f>4.2+0.2</f>
        <v>4.4000000000000004</v>
      </c>
      <c r="I64" s="49"/>
    </row>
    <row r="65" spans="1:9" x14ac:dyDescent="0.25">
      <c r="A65" s="27" t="s">
        <v>225</v>
      </c>
      <c r="B65" s="27" t="s">
        <v>45</v>
      </c>
      <c r="C65" s="27" t="s">
        <v>147</v>
      </c>
      <c r="D65" s="144" t="s">
        <v>8</v>
      </c>
      <c r="E65" s="1" t="s">
        <v>474</v>
      </c>
      <c r="F65" s="148">
        <f t="shared" si="0"/>
        <v>50.1</v>
      </c>
      <c r="G65" s="148">
        <f>49+1.1</f>
        <v>50.1</v>
      </c>
      <c r="H65" s="49">
        <v>0.9</v>
      </c>
      <c r="I65" s="49"/>
    </row>
    <row r="66" spans="1:9" ht="23.25" customHeight="1" x14ac:dyDescent="0.25">
      <c r="A66" s="27" t="s">
        <v>226</v>
      </c>
      <c r="B66" s="27"/>
      <c r="C66" s="82"/>
      <c r="D66" s="187" t="s">
        <v>138</v>
      </c>
      <c r="E66" s="187"/>
      <c r="F66" s="59">
        <f>SUM(F16:F65)</f>
        <v>4107.2</v>
      </c>
      <c r="G66" s="59">
        <f>SUM(G16:G65)</f>
        <v>2669.1</v>
      </c>
      <c r="H66" s="59">
        <f t="shared" ref="H66:I66" si="1">SUM(H16:H65)</f>
        <v>623.69999999999993</v>
      </c>
      <c r="I66" s="59">
        <f t="shared" si="1"/>
        <v>1438.1000000000001</v>
      </c>
    </row>
    <row r="67" spans="1:9" x14ac:dyDescent="0.25">
      <c r="A67" s="80"/>
    </row>
  </sheetData>
  <mergeCells count="18">
    <mergeCell ref="D66:E66"/>
    <mergeCell ref="D11:I11"/>
    <mergeCell ref="E12:E15"/>
    <mergeCell ref="F12:F15"/>
    <mergeCell ref="G12:I12"/>
    <mergeCell ref="G13:H13"/>
    <mergeCell ref="I13:I15"/>
    <mergeCell ref="G14:G15"/>
    <mergeCell ref="H14:H15"/>
    <mergeCell ref="E2:H2"/>
    <mergeCell ref="E4:H4"/>
    <mergeCell ref="A12:A15"/>
    <mergeCell ref="B12:B15"/>
    <mergeCell ref="C12:C15"/>
    <mergeCell ref="D12:D15"/>
    <mergeCell ref="A8:I8"/>
    <mergeCell ref="A9:I9"/>
    <mergeCell ref="A10:I10"/>
  </mergeCells>
  <phoneticPr fontId="0" type="noConversion"/>
  <pageMargins left="0" right="0" top="0" bottom="0" header="0.51181102362204722" footer="0.51181102362204722"/>
  <pageSetup scale="9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30"/>
  <sheetViews>
    <sheetView workbookViewId="0">
      <selection activeCell="C7" sqref="C7"/>
    </sheetView>
  </sheetViews>
  <sheetFormatPr defaultColWidth="9.140625" defaultRowHeight="15.75" x14ac:dyDescent="0.25"/>
  <cols>
    <col min="1" max="1" width="5.42578125" style="6" customWidth="1"/>
    <col min="2" max="2" width="6.28515625" style="6" customWidth="1"/>
    <col min="3" max="3" width="10.140625" style="6" customWidth="1"/>
    <col min="4" max="4" width="40" style="6" customWidth="1"/>
    <col min="5" max="5" width="29.7109375" style="6" customWidth="1"/>
    <col min="6" max="6" width="10.5703125" style="6" customWidth="1"/>
    <col min="7" max="7" width="9.5703125" style="6" customWidth="1"/>
    <col min="8" max="8" width="11.140625" style="6" customWidth="1"/>
    <col min="9" max="9" width="11" style="6" customWidth="1"/>
    <col min="10" max="16384" width="9.140625" style="6"/>
  </cols>
  <sheetData>
    <row r="1" spans="1:10" ht="15" customHeight="1" x14ac:dyDescent="0.25">
      <c r="E1" s="32"/>
      <c r="F1" s="32" t="s">
        <v>73</v>
      </c>
      <c r="G1" s="32"/>
      <c r="H1" s="32"/>
    </row>
    <row r="2" spans="1:10" ht="15" customHeight="1" x14ac:dyDescent="0.25">
      <c r="E2" s="32"/>
      <c r="F2" s="32" t="s">
        <v>466</v>
      </c>
      <c r="G2" s="32"/>
      <c r="H2" s="32"/>
    </row>
    <row r="3" spans="1:10" ht="14.25" customHeight="1" x14ac:dyDescent="0.25">
      <c r="E3" s="32"/>
      <c r="F3" s="32" t="s">
        <v>475</v>
      </c>
      <c r="G3" s="32"/>
      <c r="H3" s="32"/>
    </row>
    <row r="4" spans="1:10" s="7" customFormat="1" ht="15.75" customHeight="1" x14ac:dyDescent="0.25">
      <c r="B4" s="6"/>
      <c r="C4" s="6"/>
      <c r="D4" s="6"/>
      <c r="F4" s="97" t="s">
        <v>493</v>
      </c>
      <c r="G4" s="110"/>
      <c r="H4" s="6"/>
      <c r="I4" s="97"/>
      <c r="J4" s="6"/>
    </row>
    <row r="5" spans="1:10" s="7" customFormat="1" ht="15.75" customHeight="1" x14ac:dyDescent="0.25">
      <c r="B5" s="6"/>
      <c r="C5" s="6"/>
      <c r="D5" s="6"/>
      <c r="F5" s="6" t="s">
        <v>301</v>
      </c>
      <c r="H5" s="6"/>
      <c r="I5" s="97"/>
      <c r="J5" s="6"/>
    </row>
    <row r="6" spans="1:10" ht="13.5" customHeight="1" x14ac:dyDescent="0.25">
      <c r="E6" s="122"/>
    </row>
    <row r="7" spans="1:10" ht="16.5" customHeight="1" x14ac:dyDescent="0.25">
      <c r="C7" s="94" t="s">
        <v>497</v>
      </c>
      <c r="D7" s="94"/>
      <c r="E7" s="94"/>
      <c r="F7" s="94"/>
      <c r="G7" s="94"/>
      <c r="H7" s="94"/>
    </row>
    <row r="8" spans="1:10" ht="14.25" customHeight="1" x14ac:dyDescent="0.25">
      <c r="C8" s="159" t="s">
        <v>167</v>
      </c>
      <c r="D8" s="159"/>
      <c r="E8" s="159"/>
      <c r="F8" s="159"/>
      <c r="G8" s="159"/>
      <c r="H8" s="159"/>
    </row>
    <row r="9" spans="1:10" ht="14.25" customHeight="1" x14ac:dyDescent="0.25">
      <c r="A9" s="12"/>
      <c r="B9" s="12"/>
      <c r="C9" s="12"/>
      <c r="D9" s="186" t="s">
        <v>461</v>
      </c>
      <c r="E9" s="186"/>
      <c r="F9" s="186"/>
      <c r="G9" s="186"/>
      <c r="H9" s="186"/>
    </row>
    <row r="10" spans="1:10" ht="8.25" hidden="1" customHeight="1" x14ac:dyDescent="0.25">
      <c r="A10" s="183" t="s">
        <v>54</v>
      </c>
      <c r="B10" s="183" t="s">
        <v>173</v>
      </c>
      <c r="C10" s="183" t="s">
        <v>174</v>
      </c>
      <c r="D10" s="183" t="s">
        <v>205</v>
      </c>
      <c r="E10" s="183" t="s">
        <v>114</v>
      </c>
      <c r="F10" s="176" t="s">
        <v>115</v>
      </c>
      <c r="G10" s="183"/>
      <c r="H10" s="183"/>
    </row>
    <row r="11" spans="1:10" ht="14.25" customHeight="1" x14ac:dyDescent="0.25">
      <c r="A11" s="183"/>
      <c r="B11" s="183"/>
      <c r="C11" s="183"/>
      <c r="D11" s="183"/>
      <c r="E11" s="183"/>
      <c r="F11" s="177"/>
      <c r="G11" s="183" t="s">
        <v>100</v>
      </c>
      <c r="H11" s="183"/>
      <c r="I11" s="176" t="s">
        <v>448</v>
      </c>
    </row>
    <row r="12" spans="1:10" ht="12.75" customHeight="1" x14ac:dyDescent="0.25">
      <c r="A12" s="183"/>
      <c r="B12" s="183"/>
      <c r="C12" s="183"/>
      <c r="D12" s="183"/>
      <c r="E12" s="183"/>
      <c r="F12" s="177"/>
      <c r="G12" s="183" t="s">
        <v>4</v>
      </c>
      <c r="H12" s="183" t="s">
        <v>101</v>
      </c>
      <c r="I12" s="177"/>
    </row>
    <row r="13" spans="1:10" ht="34.5" customHeight="1" x14ac:dyDescent="0.25">
      <c r="A13" s="183"/>
      <c r="B13" s="183"/>
      <c r="C13" s="183"/>
      <c r="D13" s="183"/>
      <c r="E13" s="183"/>
      <c r="F13" s="178"/>
      <c r="G13" s="183"/>
      <c r="H13" s="183"/>
      <c r="I13" s="178"/>
    </row>
    <row r="14" spans="1:10" ht="15.75" customHeight="1" x14ac:dyDescent="0.25">
      <c r="A14" s="49" t="s">
        <v>31</v>
      </c>
      <c r="B14" s="49" t="s">
        <v>45</v>
      </c>
      <c r="C14" s="49" t="s">
        <v>147</v>
      </c>
      <c r="D14" s="20" t="s">
        <v>316</v>
      </c>
      <c r="E14" s="21" t="s">
        <v>168</v>
      </c>
      <c r="F14" s="53">
        <f>SUM(G14+I14)</f>
        <v>254.39999999999998</v>
      </c>
      <c r="G14" s="53">
        <f>238.6+0.7+6.4+0.1</f>
        <v>245.79999999999998</v>
      </c>
      <c r="H14" s="53">
        <f>177.6+0.5-2.5-1.2+0.1</f>
        <v>174.5</v>
      </c>
      <c r="I14" s="49">
        <v>8.6</v>
      </c>
    </row>
    <row r="15" spans="1:10" ht="15.75" customHeight="1" x14ac:dyDescent="0.25">
      <c r="A15" s="49" t="s">
        <v>32</v>
      </c>
      <c r="B15" s="49" t="s">
        <v>45</v>
      </c>
      <c r="C15" s="49" t="s">
        <v>147</v>
      </c>
      <c r="D15" s="8" t="s">
        <v>317</v>
      </c>
      <c r="E15" s="21" t="s">
        <v>168</v>
      </c>
      <c r="F15" s="53">
        <f t="shared" ref="F15:F28" si="0">SUM(G15+I15)</f>
        <v>267.7</v>
      </c>
      <c r="G15" s="53">
        <f>255.9+0.3+0.5+1.5</f>
        <v>258.2</v>
      </c>
      <c r="H15" s="53">
        <f>190.7+0.2+0.4-1.5-0.8</f>
        <v>188.99999999999997</v>
      </c>
      <c r="I15" s="49">
        <v>9.5</v>
      </c>
    </row>
    <row r="16" spans="1:10" ht="15.75" customHeight="1" x14ac:dyDescent="0.25">
      <c r="A16" s="49" t="s">
        <v>33</v>
      </c>
      <c r="B16" s="49" t="s">
        <v>45</v>
      </c>
      <c r="C16" s="49" t="s">
        <v>147</v>
      </c>
      <c r="D16" s="8" t="s">
        <v>318</v>
      </c>
      <c r="E16" s="21" t="s">
        <v>169</v>
      </c>
      <c r="F16" s="53">
        <f t="shared" si="0"/>
        <v>23.1</v>
      </c>
      <c r="G16" s="53">
        <f>33.1-10</f>
        <v>23.1</v>
      </c>
      <c r="H16" s="53">
        <f>24.7-7.5</f>
        <v>17.2</v>
      </c>
      <c r="I16" s="49"/>
    </row>
    <row r="17" spans="1:9" ht="15.75" customHeight="1" x14ac:dyDescent="0.25">
      <c r="A17" s="49" t="s">
        <v>34</v>
      </c>
      <c r="B17" s="49" t="s">
        <v>45</v>
      </c>
      <c r="C17" s="49" t="s">
        <v>147</v>
      </c>
      <c r="D17" s="8" t="s">
        <v>319</v>
      </c>
      <c r="E17" s="1" t="s">
        <v>353</v>
      </c>
      <c r="F17" s="53">
        <f t="shared" si="0"/>
        <v>207.4</v>
      </c>
      <c r="G17" s="53">
        <f>207.1+0.3-2.9</f>
        <v>204.5</v>
      </c>
      <c r="H17" s="53">
        <f>149.5+0.2-2.5</f>
        <v>147.19999999999999</v>
      </c>
      <c r="I17" s="49">
        <v>2.9</v>
      </c>
    </row>
    <row r="18" spans="1:9" ht="17.25" customHeight="1" x14ac:dyDescent="0.25">
      <c r="A18" s="49" t="s">
        <v>35</v>
      </c>
      <c r="B18" s="49" t="s">
        <v>45</v>
      </c>
      <c r="C18" s="49" t="s">
        <v>147</v>
      </c>
      <c r="D18" s="8" t="s">
        <v>321</v>
      </c>
      <c r="E18" s="1" t="s">
        <v>353</v>
      </c>
      <c r="F18" s="53">
        <f t="shared" si="0"/>
        <v>230.60000000000002</v>
      </c>
      <c r="G18" s="53">
        <f>209.9+0.3+0.1+12.7-1.2</f>
        <v>221.8</v>
      </c>
      <c r="H18" s="53">
        <f>158+0.2+0.1+7.8-1.1</f>
        <v>165</v>
      </c>
      <c r="I18" s="49">
        <f>7.7+1.1</f>
        <v>8.8000000000000007</v>
      </c>
    </row>
    <row r="19" spans="1:9" ht="15.75" customHeight="1" x14ac:dyDescent="0.25">
      <c r="A19" s="49" t="s">
        <v>36</v>
      </c>
      <c r="B19" s="49" t="s">
        <v>45</v>
      </c>
      <c r="C19" s="49" t="s">
        <v>147</v>
      </c>
      <c r="D19" s="22" t="s">
        <v>322</v>
      </c>
      <c r="E19" s="1" t="s">
        <v>353</v>
      </c>
      <c r="F19" s="53">
        <f t="shared" si="0"/>
        <v>202.9</v>
      </c>
      <c r="G19" s="53">
        <f>192.8+0.1+1.7</f>
        <v>194.6</v>
      </c>
      <c r="H19" s="53">
        <f>145.4+0.2-1+0.1</f>
        <v>144.69999999999999</v>
      </c>
      <c r="I19" s="49">
        <v>8.3000000000000007</v>
      </c>
    </row>
    <row r="20" spans="1:9" ht="15.75" customHeight="1" x14ac:dyDescent="0.25">
      <c r="A20" s="49" t="s">
        <v>37</v>
      </c>
      <c r="B20" s="49" t="s">
        <v>45</v>
      </c>
      <c r="C20" s="49" t="s">
        <v>147</v>
      </c>
      <c r="D20" s="22" t="s">
        <v>323</v>
      </c>
      <c r="E20" s="1" t="s">
        <v>353</v>
      </c>
      <c r="F20" s="53">
        <f t="shared" si="0"/>
        <v>162.19999999999999</v>
      </c>
      <c r="G20" s="53">
        <f>156.2+0.1-0.4</f>
        <v>155.89999999999998</v>
      </c>
      <c r="H20" s="53">
        <f>117.7+0.1-1-0.9</f>
        <v>115.89999999999999</v>
      </c>
      <c r="I20" s="49">
        <v>6.3</v>
      </c>
    </row>
    <row r="21" spans="1:9" ht="15.75" customHeight="1" x14ac:dyDescent="0.25">
      <c r="A21" s="49" t="s">
        <v>38</v>
      </c>
      <c r="B21" s="49" t="s">
        <v>45</v>
      </c>
      <c r="C21" s="49" t="s">
        <v>147</v>
      </c>
      <c r="D21" s="22" t="s">
        <v>324</v>
      </c>
      <c r="E21" s="1" t="s">
        <v>353</v>
      </c>
      <c r="F21" s="53">
        <f t="shared" si="0"/>
        <v>156.39999999999998</v>
      </c>
      <c r="G21" s="53">
        <f>155.4+0.1+0.1+0.7+0.1</f>
        <v>156.39999999999998</v>
      </c>
      <c r="H21" s="53">
        <f>117.2+0.1+0.1-0.5</f>
        <v>116.89999999999999</v>
      </c>
      <c r="I21" s="49"/>
    </row>
    <row r="22" spans="1:9" ht="15.75" customHeight="1" x14ac:dyDescent="0.25">
      <c r="A22" s="49" t="s">
        <v>39</v>
      </c>
      <c r="B22" s="49" t="s">
        <v>45</v>
      </c>
      <c r="C22" s="49" t="s">
        <v>147</v>
      </c>
      <c r="D22" s="1" t="s">
        <v>325</v>
      </c>
      <c r="E22" s="1" t="s">
        <v>353</v>
      </c>
      <c r="F22" s="53">
        <f t="shared" si="0"/>
        <v>235.99999999999997</v>
      </c>
      <c r="G22" s="53">
        <f>230+0.1+0.1-1.4</f>
        <v>228.79999999999998</v>
      </c>
      <c r="H22" s="53">
        <f>172.8+0.1+0.1-3-0.3-0.1</f>
        <v>169.6</v>
      </c>
      <c r="I22" s="49">
        <v>7.2</v>
      </c>
    </row>
    <row r="23" spans="1:9" ht="15.75" customHeight="1" x14ac:dyDescent="0.25">
      <c r="A23" s="49" t="s">
        <v>40</v>
      </c>
      <c r="B23" s="49" t="s">
        <v>45</v>
      </c>
      <c r="C23" s="49" t="s">
        <v>147</v>
      </c>
      <c r="D23" s="1" t="s">
        <v>326</v>
      </c>
      <c r="E23" s="1" t="s">
        <v>353</v>
      </c>
      <c r="F23" s="53">
        <f t="shared" si="0"/>
        <v>226.7</v>
      </c>
      <c r="G23" s="53">
        <f>221.6+0.2+0.2-1.7</f>
        <v>220.29999999999998</v>
      </c>
      <c r="H23" s="53">
        <f>166.8+0.1+0.2-7.5-1</f>
        <v>158.6</v>
      </c>
      <c r="I23" s="49">
        <v>6.4</v>
      </c>
    </row>
    <row r="24" spans="1:9" ht="15.75" customHeight="1" x14ac:dyDescent="0.25">
      <c r="A24" s="49" t="s">
        <v>41</v>
      </c>
      <c r="B24" s="49" t="s">
        <v>45</v>
      </c>
      <c r="C24" s="49" t="s">
        <v>147</v>
      </c>
      <c r="D24" s="6" t="s">
        <v>376</v>
      </c>
      <c r="E24" s="1" t="s">
        <v>353</v>
      </c>
      <c r="F24" s="53">
        <f t="shared" si="0"/>
        <v>532.69999999999993</v>
      </c>
      <c r="G24" s="53">
        <f>516+0.1+0.3</f>
        <v>516.4</v>
      </c>
      <c r="H24" s="53">
        <f>386.5+0.1+0.2-8-0.8</f>
        <v>378</v>
      </c>
      <c r="I24" s="49">
        <v>16.3</v>
      </c>
    </row>
    <row r="25" spans="1:9" ht="15.75" customHeight="1" x14ac:dyDescent="0.25">
      <c r="A25" s="49" t="s">
        <v>42</v>
      </c>
      <c r="B25" s="49" t="s">
        <v>45</v>
      </c>
      <c r="C25" s="49" t="s">
        <v>147</v>
      </c>
      <c r="D25" s="8" t="s">
        <v>328</v>
      </c>
      <c r="E25" s="1" t="s">
        <v>353</v>
      </c>
      <c r="F25" s="53">
        <f t="shared" si="0"/>
        <v>419.7</v>
      </c>
      <c r="G25" s="53">
        <f>402.2+0.1+10+0.7+3.2</f>
        <v>416.2</v>
      </c>
      <c r="H25" s="53">
        <f>301.4+0.1+7.5+0.5+1.8-0.5</f>
        <v>310.8</v>
      </c>
      <c r="I25" s="49">
        <v>3.5</v>
      </c>
    </row>
    <row r="26" spans="1:9" ht="15.75" customHeight="1" x14ac:dyDescent="0.25">
      <c r="A26" s="49" t="s">
        <v>43</v>
      </c>
      <c r="B26" s="49" t="s">
        <v>45</v>
      </c>
      <c r="C26" s="49" t="s">
        <v>147</v>
      </c>
      <c r="D26" s="8" t="s">
        <v>327</v>
      </c>
      <c r="E26" s="1" t="s">
        <v>353</v>
      </c>
      <c r="F26" s="53">
        <f t="shared" si="0"/>
        <v>982.6</v>
      </c>
      <c r="G26" s="53">
        <f>961.2+0.8+1.4+12.2</f>
        <v>975.6</v>
      </c>
      <c r="H26" s="53">
        <f>720.2+0.6+1.1-2.5-1.2-0.1</f>
        <v>718.1</v>
      </c>
      <c r="I26" s="104">
        <v>7</v>
      </c>
    </row>
    <row r="27" spans="1:9" ht="15.75" customHeight="1" x14ac:dyDescent="0.25">
      <c r="A27" s="49" t="s">
        <v>44</v>
      </c>
      <c r="B27" s="49" t="s">
        <v>45</v>
      </c>
      <c r="C27" s="49" t="s">
        <v>147</v>
      </c>
      <c r="D27" s="8" t="s">
        <v>25</v>
      </c>
      <c r="E27" s="19" t="s">
        <v>386</v>
      </c>
      <c r="F27" s="53">
        <f t="shared" si="0"/>
        <v>41.9</v>
      </c>
      <c r="G27" s="53">
        <f>41.9</f>
        <v>41.9</v>
      </c>
      <c r="H27" s="53">
        <f>32</f>
        <v>32</v>
      </c>
      <c r="I27" s="49"/>
    </row>
    <row r="28" spans="1:9" ht="15.75" customHeight="1" x14ac:dyDescent="0.25">
      <c r="A28" s="49" t="s">
        <v>45</v>
      </c>
      <c r="B28" s="49" t="s">
        <v>45</v>
      </c>
      <c r="C28" s="49" t="s">
        <v>147</v>
      </c>
      <c r="D28" s="100" t="s">
        <v>8</v>
      </c>
      <c r="E28" s="18" t="s">
        <v>342</v>
      </c>
      <c r="F28" s="53">
        <f t="shared" si="0"/>
        <v>30.1</v>
      </c>
      <c r="G28" s="53">
        <f>36.1-6</f>
        <v>30.1</v>
      </c>
      <c r="H28" s="53"/>
      <c r="I28" s="49"/>
    </row>
    <row r="29" spans="1:9" ht="16.5" customHeight="1" x14ac:dyDescent="0.25">
      <c r="A29" s="49" t="s">
        <v>46</v>
      </c>
      <c r="B29" s="49" t="s">
        <v>45</v>
      </c>
      <c r="C29" s="49" t="s">
        <v>147</v>
      </c>
      <c r="D29" s="100" t="s">
        <v>8</v>
      </c>
      <c r="E29" s="19" t="s">
        <v>386</v>
      </c>
      <c r="F29" s="53">
        <f>SUM(G29+I29)</f>
        <v>16</v>
      </c>
      <c r="G29" s="53">
        <f>65-49</f>
        <v>16</v>
      </c>
      <c r="H29" s="53"/>
      <c r="I29" s="49"/>
    </row>
    <row r="30" spans="1:9" ht="16.5" customHeight="1" x14ac:dyDescent="0.25">
      <c r="A30" s="49" t="s">
        <v>47</v>
      </c>
      <c r="B30" s="189" t="s">
        <v>329</v>
      </c>
      <c r="C30" s="190"/>
      <c r="D30" s="190"/>
      <c r="E30" s="191"/>
      <c r="F30" s="64">
        <f>SUM(G30,I30)</f>
        <v>3990.4</v>
      </c>
      <c r="G30" s="64">
        <f>SUM(G14:G29)</f>
        <v>3905.6</v>
      </c>
      <c r="H30" s="64">
        <f>SUM(H14:H28)</f>
        <v>2837.4999999999995</v>
      </c>
      <c r="I30" s="95">
        <f>SUM(I14:I28)</f>
        <v>84.8</v>
      </c>
    </row>
  </sheetData>
  <mergeCells count="14">
    <mergeCell ref="A10:A13"/>
    <mergeCell ref="B10:B13"/>
    <mergeCell ref="C10:C13"/>
    <mergeCell ref="D10:D13"/>
    <mergeCell ref="C8:H8"/>
    <mergeCell ref="D9:H9"/>
    <mergeCell ref="G11:H11"/>
    <mergeCell ref="G12:G13"/>
    <mergeCell ref="H12:H13"/>
    <mergeCell ref="B30:E30"/>
    <mergeCell ref="I11:I13"/>
    <mergeCell ref="E10:E13"/>
    <mergeCell ref="F10:F13"/>
    <mergeCell ref="G10:H10"/>
  </mergeCells>
  <phoneticPr fontId="0" type="noConversion"/>
  <pageMargins left="0.55118110236220474" right="0.39370078740157483" top="0.78740157480314965" bottom="0" header="0.51181102362204722" footer="0"/>
  <pageSetup scale="97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44"/>
  <sheetViews>
    <sheetView workbookViewId="0">
      <selection activeCell="I39" sqref="I39:J39"/>
    </sheetView>
  </sheetViews>
  <sheetFormatPr defaultColWidth="9.140625" defaultRowHeight="15.75" x14ac:dyDescent="0.25"/>
  <cols>
    <col min="1" max="3" width="9.140625" style="6"/>
    <col min="4" max="4" width="6.42578125" style="6" customWidth="1"/>
    <col min="5" max="5" width="9.140625" style="6"/>
    <col min="6" max="6" width="12.28515625" style="6" customWidth="1"/>
    <col min="7" max="7" width="9.140625" style="6"/>
    <col min="8" max="8" width="6.5703125" style="6" customWidth="1"/>
    <col min="9" max="9" width="9" style="6" customWidth="1"/>
    <col min="10" max="10" width="10.85546875" style="6" customWidth="1"/>
    <col min="11" max="11" width="12.7109375" style="6" bestFit="1" customWidth="1"/>
    <col min="12" max="12" width="9.140625" style="6"/>
    <col min="13" max="13" width="10.85546875" style="6" bestFit="1" customWidth="1"/>
    <col min="14" max="16384" width="9.140625" style="6"/>
  </cols>
  <sheetData>
    <row r="1" spans="1:12" ht="17.25" customHeight="1" x14ac:dyDescent="0.25">
      <c r="F1" s="157" t="s">
        <v>73</v>
      </c>
      <c r="G1" s="157"/>
      <c r="H1" s="157"/>
      <c r="I1" s="157"/>
    </row>
    <row r="2" spans="1:12" ht="17.25" customHeight="1" x14ac:dyDescent="0.25">
      <c r="F2" s="32" t="s">
        <v>470</v>
      </c>
      <c r="G2" s="32"/>
      <c r="H2" s="32"/>
      <c r="I2" s="32"/>
    </row>
    <row r="3" spans="1:12" ht="16.5" customHeight="1" x14ac:dyDescent="0.25">
      <c r="F3" s="192" t="s">
        <v>293</v>
      </c>
      <c r="G3" s="192"/>
      <c r="H3" s="192"/>
      <c r="I3" s="192"/>
    </row>
    <row r="4" spans="1:12" s="7" customFormat="1" ht="15.75" customHeight="1" x14ac:dyDescent="0.25">
      <c r="B4" s="6"/>
      <c r="C4" s="6"/>
      <c r="D4" s="6"/>
      <c r="F4" s="97" t="s">
        <v>496</v>
      </c>
      <c r="G4" s="110"/>
      <c r="H4" s="6"/>
      <c r="I4" s="97"/>
      <c r="J4" s="6"/>
    </row>
    <row r="5" spans="1:12" s="7" customFormat="1" ht="15.75" customHeight="1" x14ac:dyDescent="0.25">
      <c r="B5" s="6"/>
      <c r="C5" s="6"/>
      <c r="D5" s="6"/>
      <c r="F5" s="6" t="s">
        <v>301</v>
      </c>
      <c r="H5" s="6"/>
      <c r="I5" s="97"/>
      <c r="J5" s="6"/>
    </row>
    <row r="6" spans="1:12" s="7" customFormat="1" ht="9.75" customHeight="1" x14ac:dyDescent="0.25">
      <c r="B6" s="6"/>
      <c r="C6" s="6"/>
      <c r="D6" s="6"/>
      <c r="F6" s="6"/>
      <c r="H6" s="6"/>
      <c r="I6" s="97"/>
      <c r="J6" s="6"/>
    </row>
    <row r="7" spans="1:12" ht="18" customHeight="1" x14ac:dyDescent="0.25">
      <c r="A7" s="76" t="s">
        <v>394</v>
      </c>
      <c r="B7" s="76"/>
      <c r="C7" s="76"/>
      <c r="D7" s="76"/>
      <c r="E7" s="76"/>
      <c r="F7" s="76"/>
      <c r="G7" s="76"/>
      <c r="H7" s="76"/>
      <c r="I7" s="76"/>
    </row>
    <row r="8" spans="1:12" ht="15.75" customHeight="1" x14ac:dyDescent="0.25">
      <c r="A8" s="185" t="s">
        <v>113</v>
      </c>
      <c r="B8" s="185"/>
      <c r="C8" s="185"/>
      <c r="D8" s="185"/>
      <c r="E8" s="185"/>
      <c r="F8" s="185"/>
      <c r="G8" s="185"/>
      <c r="H8" s="185"/>
      <c r="I8" s="185"/>
    </row>
    <row r="9" spans="1:12" ht="18.75" customHeight="1" x14ac:dyDescent="0.25">
      <c r="A9" s="94"/>
      <c r="B9" s="94"/>
      <c r="C9" s="94"/>
      <c r="D9" s="94"/>
      <c r="E9" s="94"/>
      <c r="F9" s="94"/>
      <c r="G9" s="94"/>
      <c r="H9" s="94"/>
      <c r="I9" s="32" t="s">
        <v>461</v>
      </c>
    </row>
    <row r="10" spans="1:12" ht="20.25" customHeight="1" x14ac:dyDescent="0.25">
      <c r="A10" s="189" t="s">
        <v>91</v>
      </c>
      <c r="B10" s="190"/>
      <c r="C10" s="190"/>
      <c r="D10" s="190"/>
      <c r="E10" s="190"/>
      <c r="F10" s="190"/>
      <c r="G10" s="190"/>
      <c r="H10" s="190"/>
      <c r="I10" s="190"/>
      <c r="J10" s="191"/>
    </row>
    <row r="11" spans="1:12" ht="18" customHeight="1" x14ac:dyDescent="0.25">
      <c r="A11" s="207" t="s">
        <v>287</v>
      </c>
      <c r="B11" s="208"/>
      <c r="C11" s="208"/>
      <c r="D11" s="208"/>
      <c r="E11" s="208"/>
      <c r="F11" s="208"/>
      <c r="G11" s="208"/>
      <c r="H11" s="209"/>
      <c r="I11" s="214">
        <v>18</v>
      </c>
      <c r="J11" s="214"/>
      <c r="L11" s="96"/>
    </row>
    <row r="12" spans="1:12" ht="18" customHeight="1" x14ac:dyDescent="0.25">
      <c r="A12" s="204" t="s">
        <v>288</v>
      </c>
      <c r="B12" s="205"/>
      <c r="C12" s="205"/>
      <c r="D12" s="205"/>
      <c r="E12" s="205"/>
      <c r="F12" s="205"/>
      <c r="G12" s="205"/>
      <c r="H12" s="206"/>
      <c r="I12" s="214">
        <v>15</v>
      </c>
      <c r="J12" s="214"/>
    </row>
    <row r="13" spans="1:12" ht="18" customHeight="1" x14ac:dyDescent="0.25">
      <c r="A13" s="204" t="s">
        <v>289</v>
      </c>
      <c r="B13" s="205"/>
      <c r="C13" s="205"/>
      <c r="D13" s="205"/>
      <c r="E13" s="205"/>
      <c r="F13" s="205"/>
      <c r="G13" s="205"/>
      <c r="H13" s="206"/>
      <c r="I13" s="214">
        <v>8</v>
      </c>
      <c r="J13" s="214"/>
    </row>
    <row r="14" spans="1:12" ht="18" customHeight="1" x14ac:dyDescent="0.25">
      <c r="A14" s="196" t="s">
        <v>465</v>
      </c>
      <c r="B14" s="197"/>
      <c r="C14" s="197"/>
      <c r="D14" s="197"/>
      <c r="E14" s="197"/>
      <c r="F14" s="197"/>
      <c r="G14" s="197"/>
      <c r="H14" s="210"/>
      <c r="I14" s="218">
        <f>SUM(I11:I13)</f>
        <v>41</v>
      </c>
      <c r="J14" s="218"/>
    </row>
    <row r="15" spans="1:12" ht="32.25" customHeight="1" x14ac:dyDescent="0.25">
      <c r="A15" s="196" t="s">
        <v>92</v>
      </c>
      <c r="B15" s="197"/>
      <c r="C15" s="197"/>
      <c r="D15" s="197"/>
      <c r="E15" s="197"/>
      <c r="F15" s="197"/>
      <c r="G15" s="197"/>
      <c r="H15" s="197"/>
      <c r="I15" s="78"/>
      <c r="J15" s="79" t="s">
        <v>457</v>
      </c>
    </row>
    <row r="16" spans="1:12" ht="18" customHeight="1" x14ac:dyDescent="0.25">
      <c r="A16" s="198" t="s">
        <v>93</v>
      </c>
      <c r="B16" s="199"/>
      <c r="C16" s="199"/>
      <c r="D16" s="199"/>
      <c r="E16" s="199"/>
      <c r="F16" s="199"/>
      <c r="G16" s="199"/>
      <c r="H16" s="200"/>
      <c r="I16" s="48">
        <f>SUM(I17:I18,I19)</f>
        <v>9.1999999999999993</v>
      </c>
      <c r="J16" s="64">
        <v>7</v>
      </c>
    </row>
    <row r="17" spans="1:10" ht="18" customHeight="1" x14ac:dyDescent="0.25">
      <c r="A17" s="201" t="s">
        <v>344</v>
      </c>
      <c r="B17" s="202"/>
      <c r="C17" s="202"/>
      <c r="D17" s="202"/>
      <c r="E17" s="202"/>
      <c r="F17" s="202"/>
      <c r="G17" s="202"/>
      <c r="H17" s="203"/>
      <c r="I17" s="75"/>
      <c r="J17" s="53">
        <v>5</v>
      </c>
    </row>
    <row r="18" spans="1:10" ht="35.450000000000003" customHeight="1" x14ac:dyDescent="0.25">
      <c r="A18" s="211" t="s">
        <v>458</v>
      </c>
      <c r="B18" s="212"/>
      <c r="C18" s="212"/>
      <c r="D18" s="212"/>
      <c r="E18" s="212"/>
      <c r="F18" s="212"/>
      <c r="G18" s="212"/>
      <c r="H18" s="213"/>
      <c r="I18" s="75">
        <v>7.5</v>
      </c>
      <c r="J18" s="1"/>
    </row>
    <row r="19" spans="1:10" ht="16.5" customHeight="1" x14ac:dyDescent="0.25">
      <c r="A19" s="201" t="s">
        <v>362</v>
      </c>
      <c r="B19" s="202"/>
      <c r="C19" s="202"/>
      <c r="D19" s="202"/>
      <c r="E19" s="202"/>
      <c r="F19" s="202"/>
      <c r="G19" s="202"/>
      <c r="H19" s="203"/>
      <c r="I19" s="75">
        <f>2.9-1.2</f>
        <v>1.7</v>
      </c>
      <c r="J19" s="53">
        <v>2</v>
      </c>
    </row>
    <row r="20" spans="1:10" ht="18" customHeight="1" x14ac:dyDescent="0.25">
      <c r="A20" s="198" t="s">
        <v>94</v>
      </c>
      <c r="B20" s="199"/>
      <c r="C20" s="199"/>
      <c r="D20" s="199"/>
      <c r="E20" s="199"/>
      <c r="F20" s="199"/>
      <c r="G20" s="199"/>
      <c r="H20" s="200"/>
      <c r="I20" s="73">
        <f>SUM(I21:I22)</f>
        <v>5.9</v>
      </c>
      <c r="J20" s="1"/>
    </row>
    <row r="21" spans="1:10" ht="33" customHeight="1" x14ac:dyDescent="0.25">
      <c r="A21" s="193" t="s">
        <v>451</v>
      </c>
      <c r="B21" s="194"/>
      <c r="C21" s="194"/>
      <c r="D21" s="194"/>
      <c r="E21" s="194"/>
      <c r="F21" s="194"/>
      <c r="G21" s="194"/>
      <c r="H21" s="195"/>
      <c r="I21" s="75">
        <v>1.9</v>
      </c>
      <c r="J21" s="1"/>
    </row>
    <row r="22" spans="1:10" ht="30.75" customHeight="1" x14ac:dyDescent="0.25">
      <c r="A22" s="193" t="s">
        <v>452</v>
      </c>
      <c r="B22" s="194"/>
      <c r="C22" s="194"/>
      <c r="D22" s="194"/>
      <c r="E22" s="194"/>
      <c r="F22" s="194"/>
      <c r="G22" s="194"/>
      <c r="H22" s="195"/>
      <c r="I22" s="75">
        <v>4</v>
      </c>
      <c r="J22" s="1"/>
    </row>
    <row r="23" spans="1:10" ht="19.5" customHeight="1" x14ac:dyDescent="0.25">
      <c r="A23" s="222" t="s">
        <v>95</v>
      </c>
      <c r="B23" s="223"/>
      <c r="C23" s="223"/>
      <c r="D23" s="223"/>
      <c r="E23" s="223"/>
      <c r="F23" s="223"/>
      <c r="G23" s="223"/>
      <c r="H23" s="224"/>
      <c r="I23" s="73">
        <f>SUM(I24:I28)</f>
        <v>2.9</v>
      </c>
      <c r="J23" s="49">
        <v>0.1</v>
      </c>
    </row>
    <row r="24" spans="1:10" ht="21" customHeight="1" x14ac:dyDescent="0.25">
      <c r="A24" s="219" t="s">
        <v>315</v>
      </c>
      <c r="B24" s="220"/>
      <c r="C24" s="220"/>
      <c r="D24" s="220"/>
      <c r="E24" s="220"/>
      <c r="F24" s="220"/>
      <c r="G24" s="220"/>
      <c r="H24" s="221"/>
      <c r="I24" s="84">
        <v>1</v>
      </c>
      <c r="J24" s="1"/>
    </row>
    <row r="25" spans="1:10" ht="22.15" customHeight="1" x14ac:dyDescent="0.25">
      <c r="A25" s="225" t="s">
        <v>453</v>
      </c>
      <c r="B25" s="226"/>
      <c r="C25" s="226"/>
      <c r="D25" s="226"/>
      <c r="E25" s="226"/>
      <c r="F25" s="226"/>
      <c r="G25" s="226"/>
      <c r="H25" s="227"/>
      <c r="I25" s="85">
        <f>0.5+0.4</f>
        <v>0.9</v>
      </c>
      <c r="J25" s="1"/>
    </row>
    <row r="26" spans="1:10" ht="30" customHeight="1" x14ac:dyDescent="0.25">
      <c r="A26" s="219" t="s">
        <v>454</v>
      </c>
      <c r="B26" s="220"/>
      <c r="C26" s="220"/>
      <c r="D26" s="220"/>
      <c r="E26" s="220"/>
      <c r="F26" s="220"/>
      <c r="G26" s="220"/>
      <c r="H26" s="221"/>
      <c r="I26" s="60">
        <v>0.2</v>
      </c>
      <c r="J26" s="1"/>
    </row>
    <row r="27" spans="1:10" ht="30" customHeight="1" x14ac:dyDescent="0.25">
      <c r="A27" s="225" t="s">
        <v>472</v>
      </c>
      <c r="B27" s="226"/>
      <c r="C27" s="226"/>
      <c r="D27" s="226"/>
      <c r="E27" s="226"/>
      <c r="F27" s="226"/>
      <c r="G27" s="226"/>
      <c r="H27" s="227"/>
      <c r="I27" s="60">
        <v>0.3</v>
      </c>
      <c r="J27" s="1"/>
    </row>
    <row r="28" spans="1:10" ht="30" customHeight="1" x14ac:dyDescent="0.25">
      <c r="A28" s="225" t="s">
        <v>473</v>
      </c>
      <c r="B28" s="226"/>
      <c r="C28" s="226"/>
      <c r="D28" s="226"/>
      <c r="E28" s="226"/>
      <c r="F28" s="226"/>
      <c r="G28" s="226"/>
      <c r="H28" s="227"/>
      <c r="I28" s="60">
        <v>0.5</v>
      </c>
      <c r="J28" s="60"/>
    </row>
    <row r="29" spans="1:10" ht="30" customHeight="1" x14ac:dyDescent="0.25">
      <c r="A29" s="225" t="s">
        <v>481</v>
      </c>
      <c r="B29" s="226"/>
      <c r="C29" s="226"/>
      <c r="D29" s="226"/>
      <c r="E29" s="226"/>
      <c r="F29" s="226"/>
      <c r="G29" s="226"/>
      <c r="H29" s="227"/>
      <c r="I29" s="60"/>
      <c r="J29" s="60">
        <v>0.1</v>
      </c>
    </row>
    <row r="30" spans="1:10" ht="18" customHeight="1" x14ac:dyDescent="0.25">
      <c r="A30" s="230" t="s">
        <v>96</v>
      </c>
      <c r="B30" s="231"/>
      <c r="C30" s="231"/>
      <c r="D30" s="231"/>
      <c r="E30" s="231"/>
      <c r="F30" s="231"/>
      <c r="G30" s="231"/>
      <c r="H30" s="232"/>
      <c r="I30" s="74">
        <f>SUM(I31)</f>
        <v>5.2</v>
      </c>
      <c r="J30" s="64">
        <f>SUM(J31)</f>
        <v>0.5</v>
      </c>
    </row>
    <row r="31" spans="1:10" ht="18.75" customHeight="1" x14ac:dyDescent="0.25">
      <c r="A31" s="193" t="s">
        <v>431</v>
      </c>
      <c r="B31" s="194"/>
      <c r="C31" s="194"/>
      <c r="D31" s="194"/>
      <c r="E31" s="194"/>
      <c r="F31" s="194"/>
      <c r="G31" s="194"/>
      <c r="H31" s="195"/>
      <c r="I31" s="75">
        <v>5.2</v>
      </c>
      <c r="J31" s="49">
        <v>0.5</v>
      </c>
    </row>
    <row r="32" spans="1:10" ht="18.75" customHeight="1" x14ac:dyDescent="0.25">
      <c r="A32" s="198" t="s">
        <v>97</v>
      </c>
      <c r="B32" s="199"/>
      <c r="C32" s="199"/>
      <c r="D32" s="199"/>
      <c r="E32" s="199"/>
      <c r="F32" s="199"/>
      <c r="G32" s="199"/>
      <c r="H32" s="200"/>
      <c r="I32" s="73">
        <f>SUM(I33:I35)</f>
        <v>15</v>
      </c>
      <c r="J32" s="64">
        <f>SUM(J33:J35)</f>
        <v>36.200000000000003</v>
      </c>
    </row>
    <row r="33" spans="1:14" ht="24" customHeight="1" x14ac:dyDescent="0.25">
      <c r="A33" s="105" t="s">
        <v>345</v>
      </c>
      <c r="B33" s="106"/>
      <c r="C33" s="106"/>
      <c r="D33" s="106"/>
      <c r="E33" s="106"/>
      <c r="F33" s="106"/>
      <c r="G33" s="106"/>
      <c r="H33" s="107"/>
      <c r="I33" s="108"/>
      <c r="J33" s="53">
        <f>8+8</f>
        <v>16</v>
      </c>
    </row>
    <row r="34" spans="1:14" ht="34.5" customHeight="1" x14ac:dyDescent="0.25">
      <c r="A34" s="233" t="s">
        <v>347</v>
      </c>
      <c r="B34" s="234"/>
      <c r="C34" s="234"/>
      <c r="D34" s="234"/>
      <c r="E34" s="234"/>
      <c r="F34" s="234"/>
      <c r="G34" s="234"/>
      <c r="H34" s="234"/>
      <c r="I34" s="53"/>
      <c r="J34" s="53">
        <v>17.5</v>
      </c>
    </row>
    <row r="35" spans="1:14" ht="34.5" customHeight="1" x14ac:dyDescent="0.25">
      <c r="A35" s="211" t="s">
        <v>346</v>
      </c>
      <c r="B35" s="202"/>
      <c r="C35" s="202"/>
      <c r="D35" s="202"/>
      <c r="E35" s="202"/>
      <c r="F35" s="202"/>
      <c r="G35" s="202"/>
      <c r="H35" s="203"/>
      <c r="I35" s="109">
        <v>15</v>
      </c>
      <c r="J35" s="49">
        <f>10.7-8</f>
        <v>2.6999999999999993</v>
      </c>
    </row>
    <row r="36" spans="1:14" ht="22.5" customHeight="1" x14ac:dyDescent="0.25">
      <c r="A36" s="198" t="s">
        <v>98</v>
      </c>
      <c r="B36" s="199"/>
      <c r="C36" s="199"/>
      <c r="D36" s="199"/>
      <c r="E36" s="199"/>
      <c r="F36" s="199"/>
      <c r="G36" s="199"/>
      <c r="H36" s="200"/>
      <c r="I36" s="73">
        <f>SUM(I37:I38)</f>
        <v>2.8</v>
      </c>
      <c r="J36" s="1"/>
    </row>
    <row r="37" spans="1:14" ht="17.25" customHeight="1" x14ac:dyDescent="0.25">
      <c r="A37" s="201" t="s">
        <v>455</v>
      </c>
      <c r="B37" s="202"/>
      <c r="C37" s="202"/>
      <c r="D37" s="202"/>
      <c r="E37" s="202"/>
      <c r="F37" s="202"/>
      <c r="G37" s="202"/>
      <c r="H37" s="203"/>
      <c r="I37" s="75">
        <v>1</v>
      </c>
      <c r="J37" s="1"/>
    </row>
    <row r="38" spans="1:14" ht="17.25" customHeight="1" x14ac:dyDescent="0.25">
      <c r="A38" s="201" t="s">
        <v>459</v>
      </c>
      <c r="B38" s="202"/>
      <c r="C38" s="202"/>
      <c r="D38" s="202"/>
      <c r="E38" s="202"/>
      <c r="F38" s="202"/>
      <c r="G38" s="202"/>
      <c r="H38" s="203"/>
      <c r="I38" s="75">
        <v>1.8</v>
      </c>
      <c r="J38" s="1"/>
    </row>
    <row r="39" spans="1:14" ht="21" customHeight="1" x14ac:dyDescent="0.25">
      <c r="A39" s="228" t="s">
        <v>295</v>
      </c>
      <c r="B39" s="229"/>
      <c r="C39" s="229"/>
      <c r="D39" s="229"/>
      <c r="E39" s="229"/>
      <c r="F39" s="229"/>
      <c r="G39" s="229"/>
      <c r="H39" s="229"/>
      <c r="I39" s="50">
        <f>SUM(I16,I20,I23,I30,I32,I36)</f>
        <v>41</v>
      </c>
      <c r="J39" s="64">
        <f>SUM(J16,J20,J23,J30,J32,J36)</f>
        <v>43.800000000000004</v>
      </c>
      <c r="K39" s="34"/>
      <c r="M39" s="33"/>
      <c r="N39" s="51"/>
    </row>
    <row r="40" spans="1:14" ht="6" customHeight="1" x14ac:dyDescent="0.25">
      <c r="A40" s="217"/>
      <c r="B40" s="217"/>
      <c r="C40" s="217"/>
      <c r="D40" s="217"/>
      <c r="E40" s="217"/>
      <c r="F40" s="217"/>
      <c r="G40" s="217"/>
      <c r="H40" s="217"/>
      <c r="I40" s="101"/>
    </row>
    <row r="41" spans="1:14" x14ac:dyDescent="0.25">
      <c r="A41" s="158" t="s">
        <v>456</v>
      </c>
      <c r="B41" s="158"/>
      <c r="C41" s="158"/>
      <c r="D41" s="158"/>
      <c r="E41" s="158"/>
      <c r="F41" s="158"/>
      <c r="G41" s="158"/>
      <c r="H41" s="154"/>
      <c r="I41" s="72"/>
      <c r="J41" s="49">
        <v>43.8</v>
      </c>
    </row>
    <row r="42" spans="1:14" x14ac:dyDescent="0.25">
      <c r="A42" s="215" t="s">
        <v>288</v>
      </c>
      <c r="B42" s="216"/>
      <c r="C42" s="216"/>
      <c r="D42" s="216"/>
      <c r="E42" s="216"/>
      <c r="F42" s="216"/>
      <c r="G42" s="216"/>
      <c r="H42" s="216"/>
      <c r="I42" s="72"/>
      <c r="J42" s="49">
        <v>36.200000000000003</v>
      </c>
    </row>
    <row r="43" spans="1:14" x14ac:dyDescent="0.25">
      <c r="A43" s="215" t="s">
        <v>450</v>
      </c>
      <c r="B43" s="216"/>
      <c r="C43" s="216"/>
      <c r="D43" s="216"/>
      <c r="E43" s="216"/>
      <c r="F43" s="216"/>
      <c r="G43" s="216"/>
      <c r="H43" s="216"/>
      <c r="I43" s="77"/>
      <c r="J43" s="49">
        <f>0.7-0.2</f>
        <v>0.49999999999999994</v>
      </c>
    </row>
    <row r="44" spans="1:14" x14ac:dyDescent="0.25">
      <c r="A44" s="154" t="s">
        <v>464</v>
      </c>
      <c r="B44" s="155"/>
      <c r="C44" s="155"/>
      <c r="D44" s="155"/>
      <c r="E44" s="155"/>
      <c r="F44" s="155"/>
      <c r="G44" s="155"/>
      <c r="H44" s="155"/>
      <c r="I44" s="72"/>
      <c r="J44" s="49">
        <f>6.9+0.2</f>
        <v>7.1000000000000005</v>
      </c>
      <c r="M44" s="97"/>
    </row>
  </sheetData>
  <mergeCells count="41">
    <mergeCell ref="A25:H25"/>
    <mergeCell ref="A39:H39"/>
    <mergeCell ref="A36:H36"/>
    <mergeCell ref="A30:H30"/>
    <mergeCell ref="A31:H31"/>
    <mergeCell ref="A32:H32"/>
    <mergeCell ref="A37:H37"/>
    <mergeCell ref="A38:H38"/>
    <mergeCell ref="A34:H34"/>
    <mergeCell ref="A35:H35"/>
    <mergeCell ref="A26:H26"/>
    <mergeCell ref="A27:H27"/>
    <mergeCell ref="A28:H28"/>
    <mergeCell ref="A29:H29"/>
    <mergeCell ref="I14:J14"/>
    <mergeCell ref="A10:J10"/>
    <mergeCell ref="I11:J11"/>
    <mergeCell ref="A24:H24"/>
    <mergeCell ref="A21:H21"/>
    <mergeCell ref="A23:H23"/>
    <mergeCell ref="A42:H42"/>
    <mergeCell ref="A43:H43"/>
    <mergeCell ref="A44:H44"/>
    <mergeCell ref="A41:H41"/>
    <mergeCell ref="A40:H40"/>
    <mergeCell ref="F1:I1"/>
    <mergeCell ref="F3:I3"/>
    <mergeCell ref="A22:H22"/>
    <mergeCell ref="A15:H15"/>
    <mergeCell ref="A8:I8"/>
    <mergeCell ref="A16:H16"/>
    <mergeCell ref="A17:H17"/>
    <mergeCell ref="A12:H12"/>
    <mergeCell ref="A11:H11"/>
    <mergeCell ref="A13:H13"/>
    <mergeCell ref="A14:H14"/>
    <mergeCell ref="A18:H18"/>
    <mergeCell ref="A19:H19"/>
    <mergeCell ref="A20:H20"/>
    <mergeCell ref="I12:J12"/>
    <mergeCell ref="I13:J13"/>
  </mergeCells>
  <phoneticPr fontId="0" type="noConversion"/>
  <pageMargins left="0.19685039370078741" right="0.35433070866141736" top="0.19685039370078741" bottom="0" header="0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33"/>
  <sheetViews>
    <sheetView topLeftCell="A7" workbookViewId="0">
      <selection activeCell="G33" sqref="G33:H33"/>
    </sheetView>
  </sheetViews>
  <sheetFormatPr defaultColWidth="9.140625" defaultRowHeight="16.5" x14ac:dyDescent="0.25"/>
  <cols>
    <col min="1" max="1" width="6.85546875" style="7" customWidth="1"/>
    <col min="2" max="2" width="7.42578125" style="7" customWidth="1"/>
    <col min="3" max="3" width="39.5703125" style="7" customWidth="1"/>
    <col min="4" max="4" width="10.42578125" style="7" customWidth="1"/>
    <col min="5" max="5" width="11.140625" style="7" customWidth="1"/>
    <col min="6" max="6" width="16.28515625" style="7" customWidth="1"/>
    <col min="7" max="7" width="11.5703125" style="7" customWidth="1"/>
    <col min="8" max="8" width="11.7109375" style="7" customWidth="1"/>
    <col min="9" max="9" width="9.140625" style="7"/>
    <col min="10" max="11" width="10.85546875" style="7" bestFit="1" customWidth="1"/>
    <col min="12" max="16384" width="9.140625" style="7"/>
  </cols>
  <sheetData>
    <row r="1" spans="1:11" x14ac:dyDescent="0.25">
      <c r="E1" s="157" t="s">
        <v>333</v>
      </c>
      <c r="F1" s="157"/>
      <c r="G1" s="157"/>
    </row>
    <row r="2" spans="1:11" x14ac:dyDescent="0.25">
      <c r="E2" s="157" t="s">
        <v>470</v>
      </c>
      <c r="F2" s="157"/>
      <c r="G2" s="157"/>
      <c r="H2" s="157"/>
    </row>
    <row r="3" spans="1:11" x14ac:dyDescent="0.25">
      <c r="E3" s="6" t="s">
        <v>334</v>
      </c>
      <c r="F3" s="6"/>
      <c r="G3" s="6"/>
    </row>
    <row r="4" spans="1:11" ht="15.75" customHeight="1" x14ac:dyDescent="0.25">
      <c r="B4" s="6"/>
      <c r="C4" s="6"/>
      <c r="D4" s="6"/>
      <c r="E4" s="97" t="s">
        <v>496</v>
      </c>
      <c r="F4" s="97"/>
      <c r="G4" s="110"/>
      <c r="H4" s="6"/>
      <c r="I4" s="97"/>
      <c r="J4" s="6"/>
    </row>
    <row r="5" spans="1:11" ht="15.75" customHeight="1" x14ac:dyDescent="0.25">
      <c r="B5" s="6"/>
      <c r="C5" s="6"/>
      <c r="D5" s="6"/>
      <c r="E5" s="6" t="s">
        <v>301</v>
      </c>
      <c r="H5" s="6"/>
      <c r="I5" s="97"/>
      <c r="J5" s="6"/>
    </row>
    <row r="6" spans="1:11" x14ac:dyDescent="0.25">
      <c r="E6" s="6"/>
      <c r="F6" s="6"/>
      <c r="G6" s="6"/>
    </row>
    <row r="7" spans="1:11" ht="33.75" customHeight="1" x14ac:dyDescent="0.25">
      <c r="A7" s="6"/>
      <c r="B7" s="6"/>
      <c r="C7" s="236" t="s">
        <v>387</v>
      </c>
      <c r="D7" s="236"/>
      <c r="E7" s="236"/>
      <c r="F7" s="236"/>
      <c r="G7" s="123"/>
      <c r="H7" s="6"/>
    </row>
    <row r="8" spans="1:11" ht="15" customHeight="1" x14ac:dyDescent="0.25">
      <c r="A8" s="186" t="s">
        <v>461</v>
      </c>
      <c r="B8" s="186"/>
      <c r="C8" s="186"/>
      <c r="D8" s="186"/>
      <c r="E8" s="186"/>
      <c r="F8" s="186"/>
      <c r="G8" s="6"/>
      <c r="H8" s="6"/>
    </row>
    <row r="9" spans="1:11" ht="33.75" customHeight="1" x14ac:dyDescent="0.25">
      <c r="A9" s="235" t="s">
        <v>54</v>
      </c>
      <c r="B9" s="183" t="s">
        <v>389</v>
      </c>
      <c r="C9" s="183" t="s">
        <v>205</v>
      </c>
      <c r="D9" s="235" t="s">
        <v>28</v>
      </c>
      <c r="E9" s="235" t="s">
        <v>29</v>
      </c>
      <c r="F9" s="235" t="s">
        <v>72</v>
      </c>
      <c r="G9" s="235" t="s">
        <v>444</v>
      </c>
      <c r="H9" s="183" t="s">
        <v>432</v>
      </c>
    </row>
    <row r="10" spans="1:11" ht="23.25" customHeight="1" x14ac:dyDescent="0.25">
      <c r="A10" s="235"/>
      <c r="B10" s="183"/>
      <c r="C10" s="183"/>
      <c r="D10" s="235"/>
      <c r="E10" s="235"/>
      <c r="F10" s="235"/>
      <c r="G10" s="235"/>
      <c r="H10" s="183"/>
    </row>
    <row r="11" spans="1:11" ht="36.75" customHeight="1" x14ac:dyDescent="0.25">
      <c r="A11" s="235"/>
      <c r="B11" s="183"/>
      <c r="C11" s="183"/>
      <c r="D11" s="235"/>
      <c r="E11" s="235"/>
      <c r="F11" s="235"/>
      <c r="G11" s="235"/>
      <c r="H11" s="183"/>
    </row>
    <row r="12" spans="1:11" ht="16.5" customHeight="1" x14ac:dyDescent="0.25">
      <c r="A12" s="124" t="s">
        <v>31</v>
      </c>
      <c r="B12" s="125" t="s">
        <v>150</v>
      </c>
      <c r="C12" s="8" t="s">
        <v>8</v>
      </c>
      <c r="D12" s="70">
        <v>10</v>
      </c>
      <c r="E12" s="49"/>
      <c r="F12" s="98"/>
      <c r="G12" s="53">
        <f>SUM(D12:F12)</f>
        <v>10</v>
      </c>
      <c r="H12" s="49">
        <v>18.600000000000001</v>
      </c>
    </row>
    <row r="13" spans="1:11" ht="16.5" customHeight="1" x14ac:dyDescent="0.25">
      <c r="A13" s="124" t="s">
        <v>55</v>
      </c>
      <c r="B13" s="125"/>
      <c r="C13" s="46" t="s">
        <v>365</v>
      </c>
      <c r="D13" s="70"/>
      <c r="E13" s="49"/>
      <c r="F13" s="98"/>
      <c r="G13" s="53"/>
      <c r="H13" s="53">
        <f>2+1.5</f>
        <v>3.5</v>
      </c>
    </row>
    <row r="14" spans="1:11" ht="16.5" customHeight="1" x14ac:dyDescent="0.25">
      <c r="A14" s="125" t="s">
        <v>32</v>
      </c>
      <c r="B14" s="125" t="s">
        <v>45</v>
      </c>
      <c r="C14" s="8" t="s">
        <v>318</v>
      </c>
      <c r="D14" s="126"/>
      <c r="E14" s="49"/>
      <c r="F14" s="127">
        <f>3.6-0.7-0.6</f>
        <v>2.3000000000000003</v>
      </c>
      <c r="G14" s="53">
        <f>SUM(D14:F14)</f>
        <v>2.3000000000000003</v>
      </c>
      <c r="H14" s="49">
        <v>0.1</v>
      </c>
      <c r="K14" s="128"/>
    </row>
    <row r="15" spans="1:11" ht="16.5" customHeight="1" x14ac:dyDescent="0.25">
      <c r="A15" s="125" t="s">
        <v>33</v>
      </c>
      <c r="B15" s="125" t="s">
        <v>45</v>
      </c>
      <c r="C15" s="20" t="s">
        <v>316</v>
      </c>
      <c r="D15" s="129"/>
      <c r="E15" s="49"/>
      <c r="F15" s="127">
        <f>29+4</f>
        <v>33</v>
      </c>
      <c r="G15" s="53">
        <f>SUM(D15:F15)</f>
        <v>33</v>
      </c>
      <c r="H15" s="49">
        <v>1.4</v>
      </c>
      <c r="K15" s="128"/>
    </row>
    <row r="16" spans="1:11" ht="16.5" customHeight="1" x14ac:dyDescent="0.25">
      <c r="A16" s="125" t="s">
        <v>34</v>
      </c>
      <c r="B16" s="125" t="s">
        <v>45</v>
      </c>
      <c r="C16" s="8" t="s">
        <v>317</v>
      </c>
      <c r="D16" s="126"/>
      <c r="E16" s="49"/>
      <c r="F16" s="127">
        <f>29+4</f>
        <v>33</v>
      </c>
      <c r="G16" s="53">
        <f>SUM(D16:F16)</f>
        <v>33</v>
      </c>
      <c r="H16" s="49"/>
      <c r="K16" s="128"/>
    </row>
    <row r="17" spans="1:11" ht="16.5" customHeight="1" x14ac:dyDescent="0.25">
      <c r="A17" s="125" t="s">
        <v>35</v>
      </c>
      <c r="B17" s="125" t="s">
        <v>45</v>
      </c>
      <c r="C17" s="8" t="s">
        <v>327</v>
      </c>
      <c r="D17" s="70">
        <v>0.3</v>
      </c>
      <c r="E17" s="98">
        <f>7.2+0.5</f>
        <v>7.7</v>
      </c>
      <c r="F17" s="127"/>
      <c r="G17" s="53">
        <f>SUM(D17:F17)</f>
        <v>8</v>
      </c>
      <c r="H17" s="49"/>
      <c r="K17" s="128"/>
    </row>
    <row r="18" spans="1:11" ht="16.5" hidden="1" customHeight="1" x14ac:dyDescent="0.25">
      <c r="A18" s="125" t="s">
        <v>359</v>
      </c>
      <c r="B18" s="125"/>
      <c r="C18" s="100" t="s">
        <v>365</v>
      </c>
      <c r="D18" s="130"/>
      <c r="E18" s="49"/>
      <c r="F18" s="127"/>
      <c r="G18" s="53"/>
      <c r="H18" s="49"/>
      <c r="K18" s="128"/>
    </row>
    <row r="19" spans="1:11" ht="16.5" customHeight="1" x14ac:dyDescent="0.25">
      <c r="A19" s="125" t="s">
        <v>36</v>
      </c>
      <c r="B19" s="125" t="s">
        <v>45</v>
      </c>
      <c r="C19" s="1" t="s">
        <v>376</v>
      </c>
      <c r="D19" s="131">
        <v>0.2</v>
      </c>
      <c r="E19" s="49"/>
      <c r="F19" s="127">
        <v>14.1</v>
      </c>
      <c r="G19" s="53">
        <f t="shared" ref="G19:G26" si="0">SUM(D19:F19)</f>
        <v>14.299999999999999</v>
      </c>
      <c r="H19" s="49">
        <v>0.4</v>
      </c>
      <c r="K19" s="128"/>
    </row>
    <row r="20" spans="1:11" ht="16.5" customHeight="1" x14ac:dyDescent="0.25">
      <c r="A20" s="125" t="s">
        <v>37</v>
      </c>
      <c r="B20" s="125" t="s">
        <v>45</v>
      </c>
      <c r="C20" s="8" t="s">
        <v>328</v>
      </c>
      <c r="D20" s="70">
        <v>0.1</v>
      </c>
      <c r="E20" s="49"/>
      <c r="F20" s="66">
        <f>0.1+0.7+0.6+1.4</f>
        <v>2.8</v>
      </c>
      <c r="G20" s="53">
        <f t="shared" si="0"/>
        <v>2.9</v>
      </c>
      <c r="H20" s="49"/>
      <c r="K20" s="128"/>
    </row>
    <row r="21" spans="1:11" ht="16.5" customHeight="1" x14ac:dyDescent="0.25">
      <c r="A21" s="125" t="s">
        <v>38</v>
      </c>
      <c r="B21" s="125" t="s">
        <v>45</v>
      </c>
      <c r="C21" s="1" t="s">
        <v>325</v>
      </c>
      <c r="D21" s="53">
        <v>0.2</v>
      </c>
      <c r="E21" s="49"/>
      <c r="F21" s="127">
        <v>0.2</v>
      </c>
      <c r="G21" s="53">
        <f t="shared" si="0"/>
        <v>0.4</v>
      </c>
      <c r="H21" s="49"/>
      <c r="K21" s="128"/>
    </row>
    <row r="22" spans="1:11" ht="16.5" customHeight="1" x14ac:dyDescent="0.25">
      <c r="A22" s="125" t="s">
        <v>39</v>
      </c>
      <c r="B22" s="125" t="s">
        <v>45</v>
      </c>
      <c r="C22" s="1" t="s">
        <v>326</v>
      </c>
      <c r="D22" s="53">
        <v>0.2</v>
      </c>
      <c r="E22" s="49"/>
      <c r="F22" s="127">
        <v>0.2</v>
      </c>
      <c r="G22" s="53">
        <f t="shared" si="0"/>
        <v>0.4</v>
      </c>
      <c r="H22" s="49"/>
      <c r="K22" s="128"/>
    </row>
    <row r="23" spans="1:11" ht="16.5" customHeight="1" x14ac:dyDescent="0.25">
      <c r="A23" s="125" t="s">
        <v>40</v>
      </c>
      <c r="B23" s="125" t="s">
        <v>45</v>
      </c>
      <c r="C23" s="22" t="s">
        <v>323</v>
      </c>
      <c r="D23" s="132">
        <v>0.1</v>
      </c>
      <c r="E23" s="49"/>
      <c r="F23" s="127">
        <v>0.1</v>
      </c>
      <c r="G23" s="53">
        <f t="shared" si="0"/>
        <v>0.2</v>
      </c>
      <c r="H23" s="49"/>
      <c r="K23" s="128"/>
    </row>
    <row r="24" spans="1:11" ht="16.5" customHeight="1" x14ac:dyDescent="0.25">
      <c r="A24" s="125" t="s">
        <v>41</v>
      </c>
      <c r="B24" s="125" t="s">
        <v>45</v>
      </c>
      <c r="C24" s="22" t="s">
        <v>322</v>
      </c>
      <c r="D24" s="132">
        <v>0.4</v>
      </c>
      <c r="E24" s="49"/>
      <c r="F24" s="127">
        <v>2.9</v>
      </c>
      <c r="G24" s="53">
        <f t="shared" si="0"/>
        <v>3.3</v>
      </c>
      <c r="H24" s="49"/>
      <c r="K24" s="128"/>
    </row>
    <row r="25" spans="1:11" ht="16.5" customHeight="1" x14ac:dyDescent="0.25">
      <c r="A25" s="125" t="s">
        <v>42</v>
      </c>
      <c r="B25" s="125" t="s">
        <v>45</v>
      </c>
      <c r="C25" s="19" t="s">
        <v>25</v>
      </c>
      <c r="D25" s="131"/>
      <c r="E25" s="49"/>
      <c r="F25" s="127">
        <v>33</v>
      </c>
      <c r="G25" s="53">
        <f t="shared" si="0"/>
        <v>33</v>
      </c>
      <c r="H25" s="49">
        <v>2.6</v>
      </c>
      <c r="K25" s="128"/>
    </row>
    <row r="26" spans="1:11" ht="16.5" customHeight="1" x14ac:dyDescent="0.25">
      <c r="A26" s="125" t="s">
        <v>381</v>
      </c>
      <c r="B26" s="125"/>
      <c r="C26" s="46" t="s">
        <v>365</v>
      </c>
      <c r="D26" s="131"/>
      <c r="E26" s="49"/>
      <c r="F26" s="127">
        <v>15</v>
      </c>
      <c r="G26" s="53">
        <f t="shared" si="0"/>
        <v>15</v>
      </c>
      <c r="H26" s="49"/>
      <c r="K26" s="128"/>
    </row>
    <row r="27" spans="1:11" ht="18.75" customHeight="1" x14ac:dyDescent="0.25">
      <c r="A27" s="125" t="s">
        <v>43</v>
      </c>
      <c r="B27" s="125" t="s">
        <v>45</v>
      </c>
      <c r="C27" s="8" t="s">
        <v>321</v>
      </c>
      <c r="D27" s="131">
        <v>0.4</v>
      </c>
      <c r="E27" s="49"/>
      <c r="F27" s="127">
        <v>1.1000000000000001</v>
      </c>
      <c r="G27" s="53">
        <f>SUM(D27:F27)</f>
        <v>1.5</v>
      </c>
      <c r="H27" s="49"/>
      <c r="K27" s="128"/>
    </row>
    <row r="28" spans="1:11" ht="16.5" customHeight="1" x14ac:dyDescent="0.25">
      <c r="A28" s="125" t="s">
        <v>44</v>
      </c>
      <c r="B28" s="125" t="s">
        <v>46</v>
      </c>
      <c r="C28" s="19" t="s">
        <v>107</v>
      </c>
      <c r="D28" s="133"/>
      <c r="E28" s="49"/>
      <c r="F28" s="127">
        <v>29</v>
      </c>
      <c r="G28" s="53">
        <f>SUM(D28:F28)</f>
        <v>29</v>
      </c>
      <c r="H28" s="49">
        <v>0.6</v>
      </c>
      <c r="K28" s="128"/>
    </row>
    <row r="29" spans="1:11" ht="16.5" customHeight="1" x14ac:dyDescent="0.25">
      <c r="A29" s="125" t="s">
        <v>45</v>
      </c>
      <c r="B29" s="134" t="s">
        <v>42</v>
      </c>
      <c r="C29" s="18" t="s">
        <v>112</v>
      </c>
      <c r="D29" s="135"/>
      <c r="E29" s="52">
        <v>3</v>
      </c>
      <c r="F29" s="136"/>
      <c r="G29" s="53">
        <f>SUM(D29:F29)</f>
        <v>3</v>
      </c>
      <c r="H29" s="49"/>
      <c r="K29" s="128"/>
    </row>
    <row r="30" spans="1:11" ht="16.5" hidden="1" customHeight="1" x14ac:dyDescent="0.25">
      <c r="A30" s="125" t="s">
        <v>45</v>
      </c>
      <c r="B30" s="134"/>
      <c r="C30" s="46" t="s">
        <v>379</v>
      </c>
      <c r="D30" s="135"/>
      <c r="E30" s="13"/>
      <c r="F30" s="136"/>
      <c r="G30" s="53"/>
      <c r="H30" s="49"/>
      <c r="K30" s="128"/>
    </row>
    <row r="31" spans="1:11" ht="16.5" hidden="1" customHeight="1" x14ac:dyDescent="0.25">
      <c r="A31" s="125" t="s">
        <v>384</v>
      </c>
      <c r="B31" s="134"/>
      <c r="C31" s="46" t="s">
        <v>380</v>
      </c>
      <c r="D31" s="135"/>
      <c r="E31" s="13"/>
      <c r="F31" s="136"/>
      <c r="G31" s="53"/>
      <c r="H31" s="49"/>
      <c r="K31" s="128"/>
    </row>
    <row r="32" spans="1:11" ht="16.5" customHeight="1" x14ac:dyDescent="0.25">
      <c r="A32" s="125" t="s">
        <v>46</v>
      </c>
      <c r="B32" s="134" t="s">
        <v>43</v>
      </c>
      <c r="C32" s="137" t="s">
        <v>17</v>
      </c>
      <c r="D32" s="135"/>
      <c r="E32" s="13">
        <v>0.6</v>
      </c>
      <c r="F32" s="136"/>
      <c r="G32" s="53">
        <f>SUM(D32:F32)</f>
        <v>0.6</v>
      </c>
      <c r="H32" s="49"/>
      <c r="K32" s="128"/>
    </row>
    <row r="33" spans="1:11" ht="22.5" customHeight="1" x14ac:dyDescent="0.25">
      <c r="A33" s="125" t="s">
        <v>47</v>
      </c>
      <c r="B33" s="125"/>
      <c r="C33" s="103" t="s">
        <v>4</v>
      </c>
      <c r="D33" s="111">
        <f>SUM(D12:D32)</f>
        <v>11.899999999999999</v>
      </c>
      <c r="E33" s="111">
        <f>SUM(E12:E32)</f>
        <v>11.299999999999999</v>
      </c>
      <c r="F33" s="138">
        <f>SUM(F12:F32)-F26</f>
        <v>151.69999999999999</v>
      </c>
      <c r="G33" s="64">
        <f>SUM(D33:F33)</f>
        <v>174.89999999999998</v>
      </c>
      <c r="H33" s="64">
        <f>SUM(H12:H32)-H13</f>
        <v>23.700000000000003</v>
      </c>
      <c r="J33" s="128"/>
      <c r="K33" s="128"/>
    </row>
  </sheetData>
  <mergeCells count="12">
    <mergeCell ref="E1:G1"/>
    <mergeCell ref="E9:E11"/>
    <mergeCell ref="C7:F7"/>
    <mergeCell ref="F9:F11"/>
    <mergeCell ref="G9:G11"/>
    <mergeCell ref="D9:D11"/>
    <mergeCell ref="A9:A11"/>
    <mergeCell ref="A8:F8"/>
    <mergeCell ref="B9:B11"/>
    <mergeCell ref="C9:C11"/>
    <mergeCell ref="E2:H2"/>
    <mergeCell ref="H9:H11"/>
  </mergeCells>
  <phoneticPr fontId="0" type="noConversion"/>
  <pageMargins left="0.55118110236220474" right="0.55118110236220474" top="0.39370078740157483" bottom="0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J148"/>
  <sheetViews>
    <sheetView showZeros="0" tabSelected="1" workbookViewId="0">
      <selection activeCell="E149" sqref="E149"/>
    </sheetView>
  </sheetViews>
  <sheetFormatPr defaultColWidth="9.140625" defaultRowHeight="16.5" x14ac:dyDescent="0.25"/>
  <cols>
    <col min="1" max="1" width="5.85546875" style="7" customWidth="1"/>
    <col min="2" max="2" width="5.7109375" style="7" customWidth="1"/>
    <col min="3" max="3" width="28.5703125" style="7" customWidth="1"/>
    <col min="4" max="4" width="34" style="7" customWidth="1"/>
    <col min="5" max="5" width="9.85546875" style="7" customWidth="1"/>
    <col min="6" max="6" width="10.5703125" style="7" customWidth="1"/>
    <col min="7" max="7" width="10.28515625" style="7" customWidth="1"/>
    <col min="8" max="8" width="8.7109375" style="7" customWidth="1"/>
    <col min="9" max="9" width="9.42578125" style="7" customWidth="1"/>
    <col min="10" max="10" width="9.140625" style="7" customWidth="1"/>
    <col min="11" max="16384" width="9.140625" style="7"/>
  </cols>
  <sheetData>
    <row r="1" spans="2:10" ht="17.25" customHeight="1" x14ac:dyDescent="0.25">
      <c r="B1" s="6"/>
      <c r="C1" s="6"/>
      <c r="D1" s="6"/>
      <c r="E1" s="97" t="s">
        <v>73</v>
      </c>
      <c r="F1" s="97"/>
      <c r="G1" s="97"/>
      <c r="H1" s="6"/>
      <c r="I1" s="6"/>
      <c r="J1" s="6"/>
    </row>
    <row r="2" spans="2:10" ht="17.25" customHeight="1" x14ac:dyDescent="0.25">
      <c r="B2" s="6"/>
      <c r="C2" s="6"/>
      <c r="D2" s="6"/>
      <c r="E2" s="32" t="s">
        <v>471</v>
      </c>
      <c r="F2" s="32"/>
      <c r="G2" s="32"/>
      <c r="H2" s="32"/>
      <c r="I2" s="97"/>
      <c r="J2" s="6"/>
    </row>
    <row r="3" spans="2:10" ht="15.75" customHeight="1" x14ac:dyDescent="0.25">
      <c r="B3" s="6"/>
      <c r="C3" s="6"/>
      <c r="D3" s="6"/>
      <c r="E3" s="97" t="s">
        <v>294</v>
      </c>
      <c r="F3" s="97"/>
      <c r="G3" s="97"/>
      <c r="H3" s="6"/>
      <c r="I3" s="97"/>
      <c r="J3" s="6"/>
    </row>
    <row r="4" spans="2:10" ht="15.75" customHeight="1" x14ac:dyDescent="0.25">
      <c r="B4" s="6"/>
      <c r="C4" s="6"/>
      <c r="D4" s="6"/>
      <c r="E4" s="97" t="s">
        <v>495</v>
      </c>
      <c r="F4" s="97"/>
      <c r="G4" s="110"/>
      <c r="H4" s="6"/>
      <c r="I4" s="97"/>
      <c r="J4" s="6"/>
    </row>
    <row r="5" spans="2:10" ht="15.75" customHeight="1" x14ac:dyDescent="0.25">
      <c r="B5" s="6"/>
      <c r="C5" s="6"/>
      <c r="D5" s="6"/>
      <c r="E5" s="6" t="s">
        <v>301</v>
      </c>
      <c r="H5" s="6"/>
      <c r="I5" s="97"/>
      <c r="J5" s="6"/>
    </row>
    <row r="6" spans="2:10" ht="24" customHeight="1" x14ac:dyDescent="0.25">
      <c r="B6" s="6"/>
      <c r="C6" s="159" t="s">
        <v>399</v>
      </c>
      <c r="D6" s="159"/>
      <c r="E6" s="159"/>
      <c r="F6" s="159"/>
      <c r="G6" s="159"/>
      <c r="H6" s="159"/>
      <c r="I6" s="159"/>
      <c r="J6" s="159"/>
    </row>
    <row r="7" spans="2:10" ht="14.25" customHeight="1" x14ac:dyDescent="0.25">
      <c r="B7" s="6"/>
      <c r="C7" s="159" t="s">
        <v>185</v>
      </c>
      <c r="D7" s="159"/>
      <c r="E7" s="159"/>
      <c r="F7" s="159"/>
      <c r="G7" s="159"/>
      <c r="H7" s="159"/>
      <c r="I7" s="159"/>
      <c r="J7" s="159"/>
    </row>
    <row r="8" spans="2:10" ht="13.5" customHeight="1" x14ac:dyDescent="0.25">
      <c r="B8" s="6"/>
      <c r="C8" s="186" t="s">
        <v>388</v>
      </c>
      <c r="D8" s="186"/>
      <c r="E8" s="186"/>
      <c r="F8" s="186"/>
      <c r="G8" s="186"/>
      <c r="H8" s="186"/>
      <c r="I8" s="186"/>
      <c r="J8" s="186"/>
    </row>
    <row r="9" spans="2:10" ht="16.5" customHeight="1" x14ac:dyDescent="0.25">
      <c r="B9" s="242" t="s">
        <v>54</v>
      </c>
      <c r="C9" s="241" t="s">
        <v>206</v>
      </c>
      <c r="D9" s="241" t="s">
        <v>177</v>
      </c>
      <c r="E9" s="242" t="s">
        <v>404</v>
      </c>
      <c r="F9" s="243" t="s">
        <v>178</v>
      </c>
      <c r="G9" s="243"/>
      <c r="H9" s="243"/>
      <c r="I9" s="243"/>
      <c r="J9" s="243"/>
    </row>
    <row r="10" spans="2:10" x14ac:dyDescent="0.25">
      <c r="B10" s="244"/>
      <c r="C10" s="241"/>
      <c r="D10" s="241"/>
      <c r="E10" s="244"/>
      <c r="F10" s="241" t="s">
        <v>400</v>
      </c>
      <c r="G10" s="243" t="s">
        <v>11</v>
      </c>
      <c r="H10" s="243"/>
      <c r="I10" s="241" t="s">
        <v>402</v>
      </c>
      <c r="J10" s="241" t="s">
        <v>401</v>
      </c>
    </row>
    <row r="11" spans="2:10" ht="16.5" customHeight="1" x14ac:dyDescent="0.25">
      <c r="B11" s="244"/>
      <c r="C11" s="241"/>
      <c r="D11" s="241"/>
      <c r="E11" s="244"/>
      <c r="F11" s="241"/>
      <c r="G11" s="241" t="s">
        <v>374</v>
      </c>
      <c r="H11" s="241" t="s">
        <v>403</v>
      </c>
      <c r="I11" s="241"/>
      <c r="J11" s="241"/>
    </row>
    <row r="12" spans="2:10" x14ac:dyDescent="0.25">
      <c r="B12" s="244"/>
      <c r="C12" s="241"/>
      <c r="D12" s="241"/>
      <c r="E12" s="244"/>
      <c r="F12" s="241"/>
      <c r="G12" s="241"/>
      <c r="H12" s="241"/>
      <c r="I12" s="241"/>
      <c r="J12" s="241"/>
    </row>
    <row r="13" spans="2:10" ht="45.75" customHeight="1" x14ac:dyDescent="0.25">
      <c r="B13" s="244"/>
      <c r="C13" s="242"/>
      <c r="D13" s="242"/>
      <c r="E13" s="244"/>
      <c r="F13" s="242"/>
      <c r="G13" s="242"/>
      <c r="H13" s="242"/>
      <c r="I13" s="242"/>
      <c r="J13" s="242"/>
    </row>
    <row r="14" spans="2:10" ht="15.75" customHeight="1" x14ac:dyDescent="0.25">
      <c r="B14" s="237" t="s">
        <v>218</v>
      </c>
      <c r="C14" s="237"/>
      <c r="D14" s="237"/>
      <c r="E14" s="237"/>
      <c r="F14" s="237"/>
      <c r="G14" s="237"/>
      <c r="H14" s="237"/>
      <c r="I14" s="237"/>
      <c r="J14" s="237"/>
    </row>
    <row r="15" spans="2:10" ht="16.5" customHeight="1" x14ac:dyDescent="0.25">
      <c r="B15" s="28" t="s">
        <v>31</v>
      </c>
      <c r="C15" s="35" t="s">
        <v>8</v>
      </c>
      <c r="D15" s="2" t="s">
        <v>175</v>
      </c>
      <c r="E15" s="60">
        <f t="shared" ref="E15:E21" si="0">SUM(F15:J15)</f>
        <v>177.2</v>
      </c>
      <c r="F15" s="60">
        <f>SUM('sav.f. 3 '!F15)</f>
        <v>177.2</v>
      </c>
      <c r="G15" s="60"/>
      <c r="H15" s="60"/>
      <c r="I15" s="60"/>
      <c r="J15" s="61"/>
    </row>
    <row r="16" spans="2:10" ht="33" customHeight="1" x14ac:dyDescent="0.25">
      <c r="B16" s="27" t="s">
        <v>32</v>
      </c>
      <c r="C16" s="9" t="s">
        <v>176</v>
      </c>
      <c r="D16" s="4" t="s">
        <v>202</v>
      </c>
      <c r="E16" s="53">
        <f t="shared" si="0"/>
        <v>59.1</v>
      </c>
      <c r="F16" s="53">
        <f>SUM('sav.f. 3 '!F17)</f>
        <v>59.1</v>
      </c>
      <c r="G16" s="53"/>
      <c r="H16" s="53"/>
      <c r="I16" s="53"/>
      <c r="J16" s="62"/>
    </row>
    <row r="17" spans="2:10" ht="16.5" customHeight="1" x14ac:dyDescent="0.25">
      <c r="B17" s="27" t="s">
        <v>33</v>
      </c>
      <c r="C17" s="8" t="s">
        <v>8</v>
      </c>
      <c r="D17" s="1" t="s">
        <v>203</v>
      </c>
      <c r="E17" s="53">
        <f t="shared" si="0"/>
        <v>2392.7999999999997</v>
      </c>
      <c r="F17" s="53">
        <f>SUM('sav.f. 3 '!F18:F21,'sav.f. 3 '!F23,'sav.f. 3 '!F75,'sav.f. 3 '!F106,'sav.f. 3 '!F119)</f>
        <v>2041.1</v>
      </c>
      <c r="G17" s="53">
        <f>SUM('Valst.f. 4'!F16:F24,'Valst.f. 4'!F29,'Valst.f. 4'!F33,'Valst.f. 4'!F36,'Valst.f. 4'!F51,'Valst.f. 4'!F53,'Valst.f. 4'!F26:F27)</f>
        <v>351.7</v>
      </c>
      <c r="H17" s="53"/>
      <c r="I17" s="53"/>
      <c r="J17" s="62"/>
    </row>
    <row r="18" spans="2:10" ht="16.5" customHeight="1" x14ac:dyDescent="0.25">
      <c r="B18" s="27" t="s">
        <v>34</v>
      </c>
      <c r="C18" s="22" t="s">
        <v>8</v>
      </c>
      <c r="D18" s="10" t="s">
        <v>121</v>
      </c>
      <c r="E18" s="53">
        <f t="shared" si="0"/>
        <v>7.2</v>
      </c>
      <c r="F18" s="53"/>
      <c r="G18" s="53">
        <f>SUM('Valst.f. 4'!F25)</f>
        <v>7.2</v>
      </c>
      <c r="H18" s="53"/>
      <c r="I18" s="53"/>
      <c r="J18" s="62"/>
    </row>
    <row r="19" spans="2:10" ht="16.5" customHeight="1" x14ac:dyDescent="0.25">
      <c r="B19" s="36" t="s">
        <v>35</v>
      </c>
      <c r="C19" s="22" t="s">
        <v>8</v>
      </c>
      <c r="D19" s="10" t="s">
        <v>21</v>
      </c>
      <c r="E19" s="53">
        <f t="shared" si="0"/>
        <v>5</v>
      </c>
      <c r="F19" s="53">
        <f>SUM('sav.f. 3 '!F22)</f>
        <v>5</v>
      </c>
      <c r="G19" s="53"/>
      <c r="H19" s="53"/>
      <c r="I19" s="53"/>
      <c r="J19" s="62"/>
    </row>
    <row r="20" spans="2:10" ht="30.75" customHeight="1" x14ac:dyDescent="0.25">
      <c r="B20" s="36" t="s">
        <v>36</v>
      </c>
      <c r="C20" s="22" t="s">
        <v>283</v>
      </c>
      <c r="D20" s="21" t="s">
        <v>398</v>
      </c>
      <c r="E20" s="53">
        <f t="shared" si="0"/>
        <v>90.7</v>
      </c>
      <c r="F20" s="53">
        <f>SUM('sav.f. 3 '!F24)</f>
        <v>90.7</v>
      </c>
      <c r="G20" s="64"/>
      <c r="H20" s="64"/>
      <c r="I20" s="53"/>
      <c r="J20" s="62"/>
    </row>
    <row r="21" spans="2:10" ht="18.75" customHeight="1" x14ac:dyDescent="0.25">
      <c r="B21" s="239" t="s">
        <v>420</v>
      </c>
      <c r="C21" s="239"/>
      <c r="D21" s="239"/>
      <c r="E21" s="64">
        <f t="shared" si="0"/>
        <v>2732</v>
      </c>
      <c r="F21" s="64">
        <f>SUM(F15:F20)</f>
        <v>2373.1</v>
      </c>
      <c r="G21" s="64">
        <f>SUM(G15:G20)</f>
        <v>358.9</v>
      </c>
      <c r="H21" s="64">
        <f>SUM(H15:H20)</f>
        <v>0</v>
      </c>
      <c r="I21" s="64">
        <f>SUM(I15:I20)</f>
        <v>0</v>
      </c>
      <c r="J21" s="64">
        <f>SUM(J15:J20)</f>
        <v>0</v>
      </c>
    </row>
    <row r="22" spans="2:10" ht="19.5" customHeight="1" x14ac:dyDescent="0.25">
      <c r="B22" s="237" t="s">
        <v>179</v>
      </c>
      <c r="C22" s="237"/>
      <c r="D22" s="237"/>
      <c r="E22" s="237"/>
      <c r="F22" s="237"/>
      <c r="G22" s="237"/>
      <c r="H22" s="237"/>
      <c r="I22" s="237"/>
      <c r="J22" s="237"/>
    </row>
    <row r="23" spans="2:10" ht="16.5" customHeight="1" x14ac:dyDescent="0.25">
      <c r="B23" s="27" t="s">
        <v>31</v>
      </c>
      <c r="C23" s="8" t="s">
        <v>76</v>
      </c>
      <c r="D23" s="9" t="s">
        <v>405</v>
      </c>
      <c r="E23" s="49">
        <f>SUM(F23:J23)</f>
        <v>3.5</v>
      </c>
      <c r="F23" s="99">
        <f>SUM('sav.f. 3 '!F25)</f>
        <v>3.5</v>
      </c>
      <c r="G23" s="95"/>
      <c r="H23" s="95"/>
      <c r="I23" s="95"/>
      <c r="J23" s="27"/>
    </row>
    <row r="24" spans="2:10" ht="16.5" customHeight="1" x14ac:dyDescent="0.25">
      <c r="B24" s="27" t="s">
        <v>32</v>
      </c>
      <c r="C24" s="8" t="s">
        <v>76</v>
      </c>
      <c r="D24" s="9" t="s">
        <v>426</v>
      </c>
      <c r="E24" s="49">
        <f>SUM(F24:J24)</f>
        <v>17.399999999999999</v>
      </c>
      <c r="F24" s="99">
        <f>SUM('sav.f. 3 '!F26)</f>
        <v>17.399999999999999</v>
      </c>
      <c r="G24" s="95"/>
      <c r="H24" s="95"/>
      <c r="I24" s="95"/>
      <c r="J24" s="27"/>
    </row>
    <row r="25" spans="2:10" ht="31.5" customHeight="1" x14ac:dyDescent="0.25">
      <c r="B25" s="27" t="s">
        <v>33</v>
      </c>
      <c r="C25" s="14" t="s">
        <v>76</v>
      </c>
      <c r="D25" s="15" t="s">
        <v>406</v>
      </c>
      <c r="E25" s="49">
        <f>SUM(F25:J25)</f>
        <v>2.5</v>
      </c>
      <c r="F25" s="99">
        <f>SUM('sav.f. 3 '!F27)</f>
        <v>2.5</v>
      </c>
      <c r="G25" s="95"/>
      <c r="H25" s="95"/>
      <c r="I25" s="95"/>
      <c r="J25" s="27"/>
    </row>
    <row r="26" spans="2:10" ht="19.5" customHeight="1" x14ac:dyDescent="0.25">
      <c r="B26" s="239" t="s">
        <v>419</v>
      </c>
      <c r="C26" s="239"/>
      <c r="D26" s="239"/>
      <c r="E26" s="102">
        <f t="shared" ref="E26:J26" si="1">SUM(E23:E25)</f>
        <v>23.4</v>
      </c>
      <c r="F26" s="102">
        <f t="shared" si="1"/>
        <v>23.4</v>
      </c>
      <c r="G26" s="63">
        <f t="shared" si="1"/>
        <v>0</v>
      </c>
      <c r="H26" s="64">
        <f t="shared" si="1"/>
        <v>0</v>
      </c>
      <c r="I26" s="64">
        <f t="shared" si="1"/>
        <v>0</v>
      </c>
      <c r="J26" s="64">
        <f t="shared" si="1"/>
        <v>0</v>
      </c>
    </row>
    <row r="27" spans="2:10" ht="18" customHeight="1" x14ac:dyDescent="0.25">
      <c r="B27" s="237" t="s">
        <v>182</v>
      </c>
      <c r="C27" s="237"/>
      <c r="D27" s="237"/>
      <c r="E27" s="237"/>
      <c r="F27" s="237"/>
      <c r="G27" s="237"/>
      <c r="H27" s="237"/>
      <c r="I27" s="237"/>
      <c r="J27" s="237"/>
    </row>
    <row r="28" spans="2:10" ht="34.5" customHeight="1" x14ac:dyDescent="0.25">
      <c r="B28" s="27" t="s">
        <v>31</v>
      </c>
      <c r="C28" s="1" t="s">
        <v>8</v>
      </c>
      <c r="D28" s="17" t="s">
        <v>110</v>
      </c>
      <c r="E28" s="66">
        <f>SUM(F28:J28)</f>
        <v>3</v>
      </c>
      <c r="F28" s="65">
        <f>SUM('sav.f. 3 '!F29)</f>
        <v>3</v>
      </c>
      <c r="G28" s="64"/>
      <c r="H28" s="64"/>
      <c r="I28" s="53"/>
      <c r="J28" s="62"/>
    </row>
    <row r="29" spans="2:10" ht="31.5" customHeight="1" x14ac:dyDescent="0.25">
      <c r="B29" s="27" t="s">
        <v>32</v>
      </c>
      <c r="C29" s="1" t="s">
        <v>8</v>
      </c>
      <c r="D29" s="17" t="s">
        <v>181</v>
      </c>
      <c r="E29" s="66">
        <f>SUM(F29:J29)</f>
        <v>18</v>
      </c>
      <c r="F29" s="65">
        <f>SUM('sav.f. 3 '!F30)</f>
        <v>18</v>
      </c>
      <c r="G29" s="64"/>
      <c r="H29" s="64"/>
      <c r="I29" s="64"/>
      <c r="J29" s="62"/>
    </row>
    <row r="30" spans="2:10" ht="21" customHeight="1" x14ac:dyDescent="0.25">
      <c r="B30" s="239" t="s">
        <v>418</v>
      </c>
      <c r="C30" s="239"/>
      <c r="D30" s="239"/>
      <c r="E30" s="64">
        <f>SUM(F30:J30)</f>
        <v>21</v>
      </c>
      <c r="F30" s="64">
        <f>SUM(F28:F29)</f>
        <v>21</v>
      </c>
      <c r="G30" s="64">
        <f>SUM(G26:G29)</f>
        <v>0</v>
      </c>
      <c r="H30" s="64">
        <f>SUM(H26:H29)</f>
        <v>0</v>
      </c>
      <c r="I30" s="64">
        <f>SUM(I26:I29)</f>
        <v>0</v>
      </c>
      <c r="J30" s="64">
        <f>SUM(J26:J29)</f>
        <v>0</v>
      </c>
    </row>
    <row r="31" spans="2:10" ht="18.75" customHeight="1" x14ac:dyDescent="0.25">
      <c r="B31" s="237" t="s">
        <v>183</v>
      </c>
      <c r="C31" s="237"/>
      <c r="D31" s="237"/>
      <c r="E31" s="237"/>
      <c r="F31" s="237"/>
      <c r="G31" s="237"/>
      <c r="H31" s="237"/>
      <c r="I31" s="237"/>
      <c r="J31" s="237"/>
    </row>
    <row r="32" spans="2:10" ht="18.75" customHeight="1" x14ac:dyDescent="0.25">
      <c r="B32" s="27" t="s">
        <v>31</v>
      </c>
      <c r="C32" s="1" t="s">
        <v>8</v>
      </c>
      <c r="D32" s="1" t="s">
        <v>397</v>
      </c>
      <c r="E32" s="58">
        <f>SUM(F32:J32)</f>
        <v>62.4</v>
      </c>
      <c r="F32" s="58">
        <f>SUM('sav.f. 3 '!F32)</f>
        <v>62.4</v>
      </c>
      <c r="G32" s="53"/>
      <c r="H32" s="53"/>
      <c r="I32" s="53"/>
      <c r="J32" s="62"/>
    </row>
    <row r="33" spans="2:10" ht="18.75" customHeight="1" x14ac:dyDescent="0.25">
      <c r="B33" s="27" t="s">
        <v>32</v>
      </c>
      <c r="C33" s="1" t="s">
        <v>8</v>
      </c>
      <c r="D33" s="1" t="s">
        <v>382</v>
      </c>
      <c r="E33" s="58">
        <f>SUM(F33:J33)</f>
        <v>30</v>
      </c>
      <c r="F33" s="58">
        <f>SUM('sav.f. 3 '!F33)</f>
        <v>30</v>
      </c>
      <c r="G33" s="53"/>
      <c r="H33" s="53"/>
      <c r="I33" s="53"/>
      <c r="J33" s="62"/>
    </row>
    <row r="34" spans="2:10" ht="18.75" customHeight="1" x14ac:dyDescent="0.25">
      <c r="B34" s="27" t="s">
        <v>33</v>
      </c>
      <c r="C34" s="1" t="s">
        <v>8</v>
      </c>
      <c r="D34" s="1" t="s">
        <v>299</v>
      </c>
      <c r="E34" s="66">
        <f>SUM(F34:J34)</f>
        <v>18</v>
      </c>
      <c r="F34" s="66">
        <f>'sav.f. 3 '!G34</f>
        <v>18</v>
      </c>
      <c r="G34" s="53"/>
      <c r="H34" s="53"/>
      <c r="I34" s="53"/>
      <c r="J34" s="62"/>
    </row>
    <row r="35" spans="2:10" ht="18.75" customHeight="1" x14ac:dyDescent="0.25">
      <c r="B35" s="27" t="s">
        <v>34</v>
      </c>
      <c r="C35" s="1" t="s">
        <v>8</v>
      </c>
      <c r="D35" s="1" t="s">
        <v>22</v>
      </c>
      <c r="E35" s="53">
        <f>SUM(F35:J35)</f>
        <v>73.3</v>
      </c>
      <c r="F35" s="53"/>
      <c r="G35" s="53"/>
      <c r="H35" s="52"/>
      <c r="I35" s="52">
        <f>SUM('sav.f. 3 '!F35)</f>
        <v>73.3</v>
      </c>
      <c r="J35" s="62"/>
    </row>
    <row r="36" spans="2:10" ht="18.75" customHeight="1" x14ac:dyDescent="0.25">
      <c r="B36" s="239" t="s">
        <v>417</v>
      </c>
      <c r="C36" s="239"/>
      <c r="D36" s="239"/>
      <c r="E36" s="59">
        <f>SUM(F36:J36)</f>
        <v>183.7</v>
      </c>
      <c r="F36" s="59">
        <f>SUM(F32:F35)</f>
        <v>110.4</v>
      </c>
      <c r="G36" s="59">
        <f>SUM(G32:G35)</f>
        <v>0</v>
      </c>
      <c r="H36" s="59">
        <f>SUM(H32:H35)</f>
        <v>0</v>
      </c>
      <c r="I36" s="59">
        <f>SUM(I32:I35)</f>
        <v>73.3</v>
      </c>
      <c r="J36" s="59">
        <f>SUM(J32:J35)</f>
        <v>0</v>
      </c>
    </row>
    <row r="37" spans="2:10" ht="18.75" customHeight="1" x14ac:dyDescent="0.25">
      <c r="B37" s="237" t="s">
        <v>184</v>
      </c>
      <c r="C37" s="237"/>
      <c r="D37" s="237"/>
      <c r="E37" s="237"/>
      <c r="F37" s="237"/>
      <c r="G37" s="237"/>
      <c r="H37" s="237"/>
      <c r="I37" s="237"/>
      <c r="J37" s="237"/>
    </row>
    <row r="38" spans="2:10" ht="18.75" customHeight="1" x14ac:dyDescent="0.25">
      <c r="B38" s="27" t="s">
        <v>31</v>
      </c>
      <c r="C38" s="1" t="s">
        <v>8</v>
      </c>
      <c r="D38" s="1" t="s">
        <v>64</v>
      </c>
      <c r="E38" s="53">
        <f>SUM(F38:J38)</f>
        <v>23.4</v>
      </c>
      <c r="F38" s="53">
        <f>SUM('sav.f. 3 '!F37)</f>
        <v>23.4</v>
      </c>
      <c r="G38" s="53"/>
      <c r="H38" s="53"/>
      <c r="I38" s="53"/>
      <c r="J38" s="62"/>
    </row>
    <row r="39" spans="2:10" ht="18.75" customHeight="1" x14ac:dyDescent="0.25">
      <c r="B39" s="239" t="s">
        <v>421</v>
      </c>
      <c r="C39" s="239"/>
      <c r="D39" s="239"/>
      <c r="E39" s="59">
        <f>SUM(F39:J39)</f>
        <v>23.4</v>
      </c>
      <c r="F39" s="59">
        <f>SUM(F38)</f>
        <v>23.4</v>
      </c>
      <c r="G39" s="59">
        <f>SUM(G38)</f>
        <v>0</v>
      </c>
      <c r="H39" s="59">
        <f>SUM(H38)</f>
        <v>0</v>
      </c>
      <c r="I39" s="59">
        <f>SUM(I38)</f>
        <v>0</v>
      </c>
      <c r="J39" s="59">
        <f>SUM(J38)</f>
        <v>0</v>
      </c>
    </row>
    <row r="40" spans="2:10" ht="18.75" customHeight="1" x14ac:dyDescent="0.25">
      <c r="B40" s="237" t="s">
        <v>186</v>
      </c>
      <c r="C40" s="237"/>
      <c r="D40" s="237"/>
      <c r="E40" s="237"/>
      <c r="F40" s="237"/>
      <c r="G40" s="237"/>
      <c r="H40" s="237"/>
      <c r="I40" s="237"/>
      <c r="J40" s="237"/>
    </row>
    <row r="41" spans="2:10" ht="18.75" customHeight="1" x14ac:dyDescent="0.25">
      <c r="B41" s="37" t="s">
        <v>31</v>
      </c>
      <c r="C41" s="38" t="s">
        <v>8</v>
      </c>
      <c r="D41" s="39" t="s">
        <v>187</v>
      </c>
      <c r="E41" s="60">
        <f>SUM(F41:J41)</f>
        <v>215</v>
      </c>
      <c r="F41" s="58">
        <f>'sav.f. 3 '!F38</f>
        <v>5</v>
      </c>
      <c r="G41" s="58">
        <f>SUM('Valst.f. 4'!F31)</f>
        <v>210</v>
      </c>
      <c r="H41" s="60"/>
      <c r="I41" s="60"/>
      <c r="J41" s="61"/>
    </row>
    <row r="42" spans="2:10" ht="18.75" customHeight="1" x14ac:dyDescent="0.25">
      <c r="B42" s="239" t="s">
        <v>422</v>
      </c>
      <c r="C42" s="239"/>
      <c r="D42" s="239"/>
      <c r="E42" s="67">
        <f>SUM(F42:J42)</f>
        <v>215</v>
      </c>
      <c r="F42" s="67">
        <f>SUM(F41)</f>
        <v>5</v>
      </c>
      <c r="G42" s="67">
        <f>SUM(G41)</f>
        <v>210</v>
      </c>
      <c r="H42" s="67">
        <f>SUM(H41)</f>
        <v>0</v>
      </c>
      <c r="I42" s="67">
        <f>SUM(I41)</f>
        <v>0</v>
      </c>
      <c r="J42" s="59">
        <f>SUM(J41)</f>
        <v>0</v>
      </c>
    </row>
    <row r="43" spans="2:10" ht="18.75" customHeight="1" x14ac:dyDescent="0.25">
      <c r="B43" s="237" t="s">
        <v>188</v>
      </c>
      <c r="C43" s="237"/>
      <c r="D43" s="237"/>
      <c r="E43" s="237"/>
      <c r="F43" s="237"/>
      <c r="G43" s="237"/>
      <c r="H43" s="237"/>
      <c r="I43" s="237"/>
      <c r="J43" s="237"/>
    </row>
    <row r="44" spans="2:10" ht="18.75" customHeight="1" x14ac:dyDescent="0.25">
      <c r="B44" s="27" t="s">
        <v>31</v>
      </c>
      <c r="C44" s="1" t="s">
        <v>8</v>
      </c>
      <c r="D44" s="23" t="s">
        <v>279</v>
      </c>
      <c r="E44" s="58">
        <f>SUM(F44:J44)</f>
        <v>153.80000000000001</v>
      </c>
      <c r="F44" s="58"/>
      <c r="G44" s="58">
        <f>SUM('Valst.f. 4'!F30)</f>
        <v>153.80000000000001</v>
      </c>
      <c r="H44" s="60"/>
      <c r="I44" s="60"/>
      <c r="J44" s="62"/>
    </row>
    <row r="45" spans="2:10" ht="18.75" customHeight="1" x14ac:dyDescent="0.25">
      <c r="B45" s="238" t="s">
        <v>423</v>
      </c>
      <c r="C45" s="238"/>
      <c r="D45" s="238"/>
      <c r="E45" s="68">
        <f>SUM(F45:J45)</f>
        <v>153.80000000000001</v>
      </c>
      <c r="F45" s="68">
        <f>SUM(F44:F44)</f>
        <v>0</v>
      </c>
      <c r="G45" s="68">
        <f>SUM(G44:G44)</f>
        <v>153.80000000000001</v>
      </c>
      <c r="H45" s="68">
        <f>SUM(H44:H44)</f>
        <v>0</v>
      </c>
      <c r="I45" s="68">
        <f>SUM(I44:I44)</f>
        <v>0</v>
      </c>
      <c r="J45" s="69">
        <f>SUM(J44:J44)</f>
        <v>0</v>
      </c>
    </row>
    <row r="46" spans="2:10" s="40" customFormat="1" ht="18.75" customHeight="1" x14ac:dyDescent="0.2">
      <c r="B46" s="240" t="s">
        <v>190</v>
      </c>
      <c r="C46" s="240"/>
      <c r="D46" s="240"/>
      <c r="E46" s="240"/>
      <c r="F46" s="240"/>
      <c r="G46" s="240"/>
      <c r="H46" s="240"/>
      <c r="I46" s="240"/>
      <c r="J46" s="240"/>
    </row>
    <row r="47" spans="2:10" s="40" customFormat="1" ht="18" customHeight="1" x14ac:dyDescent="0.2">
      <c r="B47" s="41" t="s">
        <v>31</v>
      </c>
      <c r="C47" s="8" t="s">
        <v>8</v>
      </c>
      <c r="D47" s="8" t="s">
        <v>483</v>
      </c>
      <c r="E47" s="70">
        <f>SUM(F47:J47)</f>
        <v>2</v>
      </c>
      <c r="F47" s="70">
        <f>SUM('sav.f. 3 '!F31)</f>
        <v>2</v>
      </c>
      <c r="G47" s="70"/>
      <c r="H47" s="70"/>
      <c r="I47" s="70"/>
      <c r="J47" s="54"/>
    </row>
    <row r="48" spans="2:10" s="40" customFormat="1" ht="18" customHeight="1" x14ac:dyDescent="0.25">
      <c r="B48" s="41" t="s">
        <v>32</v>
      </c>
      <c r="C48" s="8" t="s">
        <v>8</v>
      </c>
      <c r="D48" s="100" t="s">
        <v>105</v>
      </c>
      <c r="E48" s="70">
        <f t="shared" ref="E48:E66" si="2">SUM(F48:J48)</f>
        <v>738.3</v>
      </c>
      <c r="F48" s="70">
        <f>SUM('sav.f. 3 '!F40)</f>
        <v>738.3</v>
      </c>
      <c r="G48" s="70"/>
      <c r="H48" s="70"/>
      <c r="I48" s="70"/>
      <c r="J48" s="54"/>
    </row>
    <row r="49" spans="2:10" ht="18" customHeight="1" x14ac:dyDescent="0.25">
      <c r="B49" s="27" t="s">
        <v>33</v>
      </c>
      <c r="C49" s="8" t="s">
        <v>8</v>
      </c>
      <c r="D49" s="100" t="s">
        <v>5</v>
      </c>
      <c r="E49" s="70">
        <f t="shared" si="2"/>
        <v>30</v>
      </c>
      <c r="F49" s="65">
        <f>SUM('sav.f. 3 '!F57)</f>
        <v>30</v>
      </c>
      <c r="G49" s="65"/>
      <c r="H49" s="53"/>
      <c r="I49" s="53"/>
      <c r="J49" s="62"/>
    </row>
    <row r="50" spans="2:10" ht="18" customHeight="1" x14ac:dyDescent="0.25">
      <c r="B50" s="27" t="s">
        <v>34</v>
      </c>
      <c r="C50" s="8" t="s">
        <v>207</v>
      </c>
      <c r="D50" s="100" t="s">
        <v>280</v>
      </c>
      <c r="E50" s="70">
        <f t="shared" si="2"/>
        <v>3.8</v>
      </c>
      <c r="F50" s="65">
        <f>SUM('sav.f. 3 '!F42,'sav.f. 3 '!F58)</f>
        <v>3.8</v>
      </c>
      <c r="G50" s="65"/>
      <c r="H50" s="53"/>
      <c r="I50" s="53"/>
      <c r="J50" s="62"/>
    </row>
    <row r="51" spans="2:10" ht="18" customHeight="1" x14ac:dyDescent="0.25">
      <c r="B51" s="27" t="s">
        <v>35</v>
      </c>
      <c r="C51" s="8" t="s">
        <v>208</v>
      </c>
      <c r="D51" s="100" t="s">
        <v>280</v>
      </c>
      <c r="E51" s="70">
        <f t="shared" si="2"/>
        <v>8.2000000000000011</v>
      </c>
      <c r="F51" s="65">
        <f>SUM('sav.f. 3 '!F43,'sav.f. 3 '!F59)</f>
        <v>8.2000000000000011</v>
      </c>
      <c r="G51" s="65"/>
      <c r="H51" s="53"/>
      <c r="I51" s="53"/>
      <c r="J51" s="62"/>
    </row>
    <row r="52" spans="2:10" ht="18" customHeight="1" x14ac:dyDescent="0.25">
      <c r="B52" s="27" t="s">
        <v>36</v>
      </c>
      <c r="C52" s="8" t="s">
        <v>209</v>
      </c>
      <c r="D52" s="100" t="s">
        <v>280</v>
      </c>
      <c r="E52" s="70">
        <f t="shared" si="2"/>
        <v>9.4</v>
      </c>
      <c r="F52" s="65">
        <f>SUM('sav.f. 3 '!F44,'sav.f. 3 '!F60)</f>
        <v>9.4</v>
      </c>
      <c r="G52" s="65"/>
      <c r="H52" s="53"/>
      <c r="I52" s="53"/>
      <c r="J52" s="62"/>
    </row>
    <row r="53" spans="2:10" ht="18" customHeight="1" x14ac:dyDescent="0.25">
      <c r="B53" s="27" t="s">
        <v>37</v>
      </c>
      <c r="C53" s="8" t="s">
        <v>210</v>
      </c>
      <c r="D53" s="100" t="s">
        <v>280</v>
      </c>
      <c r="E53" s="70">
        <f t="shared" si="2"/>
        <v>5.8000000000000007</v>
      </c>
      <c r="F53" s="65">
        <f>SUM('sav.f. 3 '!F45,'sav.f. 3 '!F61)</f>
        <v>5.8000000000000007</v>
      </c>
      <c r="G53" s="65"/>
      <c r="H53" s="53"/>
      <c r="I53" s="53"/>
      <c r="J53" s="62"/>
    </row>
    <row r="54" spans="2:10" ht="18" customHeight="1" x14ac:dyDescent="0.25">
      <c r="B54" s="27" t="s">
        <v>38</v>
      </c>
      <c r="C54" s="8" t="s">
        <v>220</v>
      </c>
      <c r="D54" s="100" t="s">
        <v>280</v>
      </c>
      <c r="E54" s="70">
        <f t="shared" si="2"/>
        <v>83.4</v>
      </c>
      <c r="F54" s="65">
        <f>SUM('sav.f. 3 '!F46,'sav.f. 3 '!F62)</f>
        <v>83.4</v>
      </c>
      <c r="G54" s="65"/>
      <c r="H54" s="53"/>
      <c r="I54" s="53"/>
      <c r="J54" s="62"/>
    </row>
    <row r="55" spans="2:10" ht="18" customHeight="1" x14ac:dyDescent="0.25">
      <c r="B55" s="27" t="s">
        <v>39</v>
      </c>
      <c r="C55" s="8" t="s">
        <v>211</v>
      </c>
      <c r="D55" s="100" t="s">
        <v>280</v>
      </c>
      <c r="E55" s="70">
        <f t="shared" si="2"/>
        <v>10.5</v>
      </c>
      <c r="F55" s="65">
        <f>SUM('sav.f. 3 '!F47,'sav.f. 3 '!F63)</f>
        <v>10.5</v>
      </c>
      <c r="G55" s="65"/>
      <c r="H55" s="53"/>
      <c r="I55" s="53"/>
      <c r="J55" s="62"/>
    </row>
    <row r="56" spans="2:10" ht="18" customHeight="1" x14ac:dyDescent="0.25">
      <c r="B56" s="27" t="s">
        <v>40</v>
      </c>
      <c r="C56" s="8" t="s">
        <v>212</v>
      </c>
      <c r="D56" s="100" t="s">
        <v>280</v>
      </c>
      <c r="E56" s="70">
        <f t="shared" si="2"/>
        <v>3.8</v>
      </c>
      <c r="F56" s="65">
        <f>SUM('sav.f. 3 '!F48,'sav.f. 3 '!F64)</f>
        <v>3.8</v>
      </c>
      <c r="G56" s="65"/>
      <c r="H56" s="53"/>
      <c r="I56" s="53"/>
      <c r="J56" s="62"/>
    </row>
    <row r="57" spans="2:10" ht="18" customHeight="1" x14ac:dyDescent="0.25">
      <c r="B57" s="27" t="s">
        <v>41</v>
      </c>
      <c r="C57" s="8" t="s">
        <v>213</v>
      </c>
      <c r="D57" s="100" t="s">
        <v>280</v>
      </c>
      <c r="E57" s="70">
        <f t="shared" si="2"/>
        <v>17.7</v>
      </c>
      <c r="F57" s="65">
        <f>SUM('sav.f. 3 '!F49,'sav.f. 3 '!F65)</f>
        <v>17.7</v>
      </c>
      <c r="G57" s="65"/>
      <c r="H57" s="53"/>
      <c r="I57" s="53"/>
      <c r="J57" s="62"/>
    </row>
    <row r="58" spans="2:10" ht="18" customHeight="1" x14ac:dyDescent="0.25">
      <c r="B58" s="27" t="s">
        <v>42</v>
      </c>
      <c r="C58" s="8" t="s">
        <v>214</v>
      </c>
      <c r="D58" s="100" t="s">
        <v>280</v>
      </c>
      <c r="E58" s="70">
        <f t="shared" si="2"/>
        <v>3.3</v>
      </c>
      <c r="F58" s="65">
        <f>SUM('sav.f. 3 '!F50,'sav.f. 3 '!F66)</f>
        <v>3.3</v>
      </c>
      <c r="G58" s="65"/>
      <c r="H58" s="53"/>
      <c r="I58" s="53"/>
      <c r="J58" s="62"/>
    </row>
    <row r="59" spans="2:10" ht="18" customHeight="1" x14ac:dyDescent="0.25">
      <c r="B59" s="27" t="s">
        <v>43</v>
      </c>
      <c r="C59" s="8" t="s">
        <v>215</v>
      </c>
      <c r="D59" s="100" t="s">
        <v>280</v>
      </c>
      <c r="E59" s="70">
        <f t="shared" si="2"/>
        <v>7.1999999999999993</v>
      </c>
      <c r="F59" s="65">
        <f>SUM('sav.f. 3 '!F51,'sav.f. 3 '!F67)</f>
        <v>7.1999999999999993</v>
      </c>
      <c r="G59" s="65"/>
      <c r="H59" s="53"/>
      <c r="I59" s="53"/>
      <c r="J59" s="62"/>
    </row>
    <row r="60" spans="2:10" ht="18" customHeight="1" x14ac:dyDescent="0.25">
      <c r="B60" s="27" t="s">
        <v>44</v>
      </c>
      <c r="C60" s="8" t="s">
        <v>216</v>
      </c>
      <c r="D60" s="100" t="s">
        <v>280</v>
      </c>
      <c r="E60" s="70">
        <f t="shared" si="2"/>
        <v>7.5</v>
      </c>
      <c r="F60" s="65">
        <f>SUM('sav.f. 3 '!F52,'sav.f. 3 '!F68)</f>
        <v>7.5</v>
      </c>
      <c r="G60" s="65"/>
      <c r="H60" s="53"/>
      <c r="I60" s="53"/>
      <c r="J60" s="62"/>
    </row>
    <row r="61" spans="2:10" ht="18" customHeight="1" x14ac:dyDescent="0.25">
      <c r="B61" s="27" t="s">
        <v>45</v>
      </c>
      <c r="C61" s="8" t="s">
        <v>217</v>
      </c>
      <c r="D61" s="100" t="s">
        <v>280</v>
      </c>
      <c r="E61" s="70">
        <f t="shared" si="2"/>
        <v>51</v>
      </c>
      <c r="F61" s="65">
        <f>SUM('sav.f. 3 '!F53,'sav.f. 3 '!F69)</f>
        <v>51</v>
      </c>
      <c r="G61" s="65"/>
      <c r="H61" s="53"/>
      <c r="I61" s="53"/>
      <c r="J61" s="62"/>
    </row>
    <row r="62" spans="2:10" ht="18" customHeight="1" x14ac:dyDescent="0.25">
      <c r="B62" s="27" t="s">
        <v>46</v>
      </c>
      <c r="C62" s="8" t="s">
        <v>8</v>
      </c>
      <c r="D62" s="100" t="s">
        <v>15</v>
      </c>
      <c r="E62" s="70">
        <f t="shared" si="2"/>
        <v>15.2</v>
      </c>
      <c r="F62" s="53">
        <f>SUM('sav.f. 3 '!F55)</f>
        <v>15.2</v>
      </c>
      <c r="G62" s="53"/>
      <c r="H62" s="53"/>
      <c r="I62" s="53"/>
      <c r="J62" s="62"/>
    </row>
    <row r="63" spans="2:10" ht="18" customHeight="1" x14ac:dyDescent="0.25">
      <c r="B63" s="27" t="s">
        <v>47</v>
      </c>
      <c r="C63" s="8" t="s">
        <v>8</v>
      </c>
      <c r="D63" s="21" t="s">
        <v>375</v>
      </c>
      <c r="E63" s="70">
        <f t="shared" si="2"/>
        <v>1520.5</v>
      </c>
      <c r="F63" s="53">
        <f>SUM('sav.f. 3 '!F36)</f>
        <v>25.5</v>
      </c>
      <c r="G63" s="53">
        <f>SUM('Valst.f. 4'!F62)</f>
        <v>1495</v>
      </c>
      <c r="H63" s="53"/>
      <c r="I63" s="53"/>
      <c r="J63" s="62"/>
    </row>
    <row r="64" spans="2:10" ht="18" customHeight="1" x14ac:dyDescent="0.25">
      <c r="B64" s="27" t="s">
        <v>48</v>
      </c>
      <c r="C64" s="8" t="s">
        <v>8</v>
      </c>
      <c r="D64" s="18" t="s">
        <v>480</v>
      </c>
      <c r="E64" s="70">
        <f t="shared" si="2"/>
        <v>19.799999999999997</v>
      </c>
      <c r="F64" s="53">
        <f>SUM('sav.f. 3 '!F56)</f>
        <v>19.799999999999997</v>
      </c>
      <c r="G64" s="53"/>
      <c r="H64" s="53"/>
      <c r="I64" s="53"/>
      <c r="J64" s="62"/>
    </row>
    <row r="65" spans="2:10" ht="18" customHeight="1" x14ac:dyDescent="0.25">
      <c r="B65" s="27" t="s">
        <v>49</v>
      </c>
      <c r="C65" s="8" t="s">
        <v>8</v>
      </c>
      <c r="D65" s="100" t="s">
        <v>143</v>
      </c>
      <c r="E65" s="70">
        <f t="shared" si="2"/>
        <v>250.9</v>
      </c>
      <c r="F65" s="53">
        <f>SUM('sav.f. 3 '!F70)-21.2</f>
        <v>201.10000000000002</v>
      </c>
      <c r="G65" s="53"/>
      <c r="H65" s="53"/>
      <c r="I65" s="53">
        <v>21.2</v>
      </c>
      <c r="J65" s="53">
        <f>SUM(Spec.7!G12:H12)</f>
        <v>28.6</v>
      </c>
    </row>
    <row r="66" spans="2:10" ht="18" customHeight="1" x14ac:dyDescent="0.25">
      <c r="B66" s="27" t="s">
        <v>50</v>
      </c>
      <c r="C66" s="8" t="s">
        <v>395</v>
      </c>
      <c r="D66" s="8" t="s">
        <v>483</v>
      </c>
      <c r="E66" s="70">
        <f t="shared" si="2"/>
        <v>507.8</v>
      </c>
      <c r="F66" s="53">
        <f>'sav.f. 3 '!F122</f>
        <v>10</v>
      </c>
      <c r="G66" s="53">
        <f>'Valst.f. 4'!F28</f>
        <v>497.8</v>
      </c>
      <c r="H66" s="53"/>
      <c r="I66" s="53"/>
      <c r="J66" s="62"/>
    </row>
    <row r="67" spans="2:10" ht="21.75" customHeight="1" x14ac:dyDescent="0.25">
      <c r="B67" s="239" t="s">
        <v>424</v>
      </c>
      <c r="C67" s="239"/>
      <c r="D67" s="239"/>
      <c r="E67" s="59">
        <f>SUM(F67:J67)</f>
        <v>3296.1</v>
      </c>
      <c r="F67" s="59">
        <f>SUM(F47:F66)</f>
        <v>1253.5</v>
      </c>
      <c r="G67" s="59">
        <f t="shared" ref="G67:J67" si="3">SUM(G47:G66)</f>
        <v>1992.8</v>
      </c>
      <c r="H67" s="59">
        <f t="shared" si="3"/>
        <v>0</v>
      </c>
      <c r="I67" s="59">
        <f t="shared" si="3"/>
        <v>21.2</v>
      </c>
      <c r="J67" s="59">
        <f t="shared" si="3"/>
        <v>28.6</v>
      </c>
    </row>
    <row r="68" spans="2:10" ht="19.5" customHeight="1" x14ac:dyDescent="0.25">
      <c r="B68" s="237" t="s">
        <v>191</v>
      </c>
      <c r="C68" s="237"/>
      <c r="D68" s="237"/>
      <c r="E68" s="237"/>
      <c r="F68" s="237"/>
      <c r="G68" s="237"/>
      <c r="H68" s="237"/>
      <c r="I68" s="237"/>
      <c r="J68" s="237"/>
    </row>
    <row r="69" spans="2:10" ht="31.5" customHeight="1" x14ac:dyDescent="0.25">
      <c r="B69" s="27" t="s">
        <v>31</v>
      </c>
      <c r="C69" s="1" t="s">
        <v>8</v>
      </c>
      <c r="D69" s="55" t="s">
        <v>428</v>
      </c>
      <c r="E69" s="58">
        <f>SUM(F69:J69)</f>
        <v>84.800000000000011</v>
      </c>
      <c r="F69" s="53">
        <f>SUM(AARP.6!I39:J39)</f>
        <v>84.800000000000011</v>
      </c>
      <c r="G69" s="60"/>
      <c r="H69" s="60"/>
      <c r="I69" s="60"/>
      <c r="J69" s="62"/>
    </row>
    <row r="70" spans="2:10" ht="17.25" customHeight="1" x14ac:dyDescent="0.25">
      <c r="B70" s="239" t="s">
        <v>425</v>
      </c>
      <c r="C70" s="239"/>
      <c r="D70" s="239"/>
      <c r="E70" s="67">
        <f>SUM(F70:J70)</f>
        <v>84.800000000000011</v>
      </c>
      <c r="F70" s="59">
        <f>SUM(F69:F69)</f>
        <v>84.800000000000011</v>
      </c>
      <c r="G70" s="59">
        <f>SUM(G69:G69)</f>
        <v>0</v>
      </c>
      <c r="H70" s="59">
        <f>SUM(H69:H69)</f>
        <v>0</v>
      </c>
      <c r="I70" s="59">
        <f>SUM(I69:I69)</f>
        <v>0</v>
      </c>
      <c r="J70" s="59">
        <f>SUM(J69:J69)</f>
        <v>0</v>
      </c>
    </row>
    <row r="71" spans="2:10" ht="15.75" customHeight="1" x14ac:dyDescent="0.25">
      <c r="B71" s="237" t="s">
        <v>192</v>
      </c>
      <c r="C71" s="237"/>
      <c r="D71" s="237"/>
      <c r="E71" s="237"/>
      <c r="F71" s="237"/>
      <c r="G71" s="237"/>
      <c r="H71" s="237"/>
      <c r="I71" s="237"/>
      <c r="J71" s="237"/>
    </row>
    <row r="72" spans="2:10" ht="15.75" customHeight="1" x14ac:dyDescent="0.25">
      <c r="B72" s="27" t="s">
        <v>31</v>
      </c>
      <c r="C72" s="1" t="s">
        <v>8</v>
      </c>
      <c r="D72" s="1" t="s">
        <v>16</v>
      </c>
      <c r="E72" s="58">
        <f>SUM(F72:J72)</f>
        <v>169</v>
      </c>
      <c r="F72" s="60">
        <f>SUM('sav.f. 3 '!F39)</f>
        <v>169</v>
      </c>
      <c r="G72" s="60"/>
      <c r="H72" s="60"/>
      <c r="I72" s="60"/>
      <c r="J72" s="62"/>
    </row>
    <row r="73" spans="2:10" ht="15.75" customHeight="1" x14ac:dyDescent="0.25">
      <c r="B73" s="239" t="s">
        <v>416</v>
      </c>
      <c r="C73" s="239"/>
      <c r="D73" s="239"/>
      <c r="E73" s="64">
        <f>SUM(E72)</f>
        <v>169</v>
      </c>
      <c r="F73" s="64">
        <f>SUM(F72)</f>
        <v>169</v>
      </c>
      <c r="G73" s="64">
        <f>SUM(G72)</f>
        <v>0</v>
      </c>
      <c r="H73" s="64">
        <f t="shared" ref="H73:J73" si="4">SUM(H72)</f>
        <v>0</v>
      </c>
      <c r="I73" s="64">
        <f t="shared" si="4"/>
        <v>0</v>
      </c>
      <c r="J73" s="64">
        <f t="shared" si="4"/>
        <v>0</v>
      </c>
    </row>
    <row r="74" spans="2:10" ht="15.75" customHeight="1" x14ac:dyDescent="0.25">
      <c r="B74" s="237" t="s">
        <v>193</v>
      </c>
      <c r="C74" s="237"/>
      <c r="D74" s="237"/>
      <c r="E74" s="237"/>
      <c r="F74" s="237"/>
      <c r="G74" s="237"/>
      <c r="H74" s="237"/>
      <c r="I74" s="237"/>
      <c r="J74" s="237"/>
    </row>
    <row r="75" spans="2:10" ht="33.75" customHeight="1" x14ac:dyDescent="0.25">
      <c r="B75" s="27" t="s">
        <v>31</v>
      </c>
      <c r="C75" s="1" t="s">
        <v>8</v>
      </c>
      <c r="D75" s="88" t="s">
        <v>24</v>
      </c>
      <c r="E75" s="58">
        <f>SUM(F75:J75)</f>
        <v>3</v>
      </c>
      <c r="F75" s="60">
        <f>SUM('sav.f. 3 '!F54)</f>
        <v>3</v>
      </c>
      <c r="G75" s="60"/>
      <c r="H75" s="60"/>
      <c r="I75" s="60"/>
      <c r="J75" s="62"/>
    </row>
    <row r="76" spans="2:10" ht="15.75" customHeight="1" x14ac:dyDescent="0.25">
      <c r="B76" s="36" t="s">
        <v>32</v>
      </c>
      <c r="C76" s="1" t="s">
        <v>8</v>
      </c>
      <c r="D76" s="89" t="s">
        <v>392</v>
      </c>
      <c r="E76" s="58">
        <f>SUM(F76:J76)</f>
        <v>5.6</v>
      </c>
      <c r="F76" s="66">
        <f>SUM('sav.f. 3 '!F120)</f>
        <v>5.6</v>
      </c>
      <c r="G76" s="66"/>
      <c r="H76" s="66"/>
      <c r="I76" s="53"/>
      <c r="J76" s="90"/>
    </row>
    <row r="77" spans="2:10" ht="30" customHeight="1" x14ac:dyDescent="0.25">
      <c r="B77" s="36" t="s">
        <v>33</v>
      </c>
      <c r="C77" s="1" t="s">
        <v>8</v>
      </c>
      <c r="D77" s="14" t="s">
        <v>286</v>
      </c>
      <c r="E77" s="58">
        <f>SUM(F77:J77)</f>
        <v>0.59999999999999987</v>
      </c>
      <c r="F77" s="91">
        <f>SUM('sav.f. 3 '!F121)</f>
        <v>0.3</v>
      </c>
      <c r="G77" s="91">
        <f>SUM('Valst.f. 4'!F50)</f>
        <v>0.29999999999999993</v>
      </c>
      <c r="H77" s="91"/>
      <c r="I77" s="91"/>
      <c r="J77" s="90"/>
    </row>
    <row r="78" spans="2:10" ht="18.75" customHeight="1" x14ac:dyDescent="0.25">
      <c r="B78" s="238" t="s">
        <v>415</v>
      </c>
      <c r="C78" s="238"/>
      <c r="D78" s="238"/>
      <c r="E78" s="68">
        <f>SUM(E75:E77)</f>
        <v>9.1999999999999993</v>
      </c>
      <c r="F78" s="68">
        <f>SUM(F75:F77)</f>
        <v>8.9</v>
      </c>
      <c r="G78" s="68">
        <f>SUM(G75:G77)</f>
        <v>0.29999999999999993</v>
      </c>
      <c r="H78" s="68">
        <f>SUM(H75:H75)</f>
        <v>0</v>
      </c>
      <c r="I78" s="68">
        <f>SUM(I75:I75)</f>
        <v>0</v>
      </c>
      <c r="J78" s="69">
        <f>SUM(J75:J75)</f>
        <v>0</v>
      </c>
    </row>
    <row r="79" spans="2:10" ht="21" customHeight="1" x14ac:dyDescent="0.25">
      <c r="B79" s="237" t="s">
        <v>194</v>
      </c>
      <c r="C79" s="237"/>
      <c r="D79" s="237"/>
      <c r="E79" s="237"/>
      <c r="F79" s="237"/>
      <c r="G79" s="237"/>
      <c r="H79" s="237"/>
      <c r="I79" s="237"/>
      <c r="J79" s="237"/>
    </row>
    <row r="80" spans="2:10" ht="18.75" customHeight="1" x14ac:dyDescent="0.25">
      <c r="B80" s="27" t="s">
        <v>31</v>
      </c>
      <c r="C80" s="1" t="s">
        <v>8</v>
      </c>
      <c r="D80" s="1" t="s">
        <v>66</v>
      </c>
      <c r="E80" s="53">
        <f t="shared" ref="E80:E85" si="5">SUM(F80:J80)</f>
        <v>218</v>
      </c>
      <c r="F80" s="53">
        <f>SUM('sav.f. 3 '!F71)</f>
        <v>117</v>
      </c>
      <c r="G80" s="53">
        <f>SUM('Valst.f. 4'!F61)</f>
        <v>101</v>
      </c>
      <c r="H80" s="53"/>
      <c r="I80" s="53"/>
      <c r="J80" s="62"/>
    </row>
    <row r="81" spans="2:10" ht="31.5" x14ac:dyDescent="0.25">
      <c r="B81" s="27" t="s">
        <v>32</v>
      </c>
      <c r="C81" s="1" t="s">
        <v>8</v>
      </c>
      <c r="D81" s="93" t="s">
        <v>489</v>
      </c>
      <c r="E81" s="53">
        <f t="shared" si="5"/>
        <v>4</v>
      </c>
      <c r="F81" s="53">
        <f>'sav.f. 3 '!F72</f>
        <v>4</v>
      </c>
      <c r="G81" s="53"/>
      <c r="H81" s="53"/>
      <c r="I81" s="53"/>
      <c r="J81" s="62"/>
    </row>
    <row r="82" spans="2:10" ht="18.75" customHeight="1" x14ac:dyDescent="0.25">
      <c r="B82" s="27" t="s">
        <v>33</v>
      </c>
      <c r="C82" s="1" t="s">
        <v>8</v>
      </c>
      <c r="D82" s="1" t="s">
        <v>26</v>
      </c>
      <c r="E82" s="53">
        <f t="shared" si="5"/>
        <v>5</v>
      </c>
      <c r="F82" s="53">
        <f>SUM('sav.f. 3 '!F73)</f>
        <v>5</v>
      </c>
      <c r="G82" s="53"/>
      <c r="H82" s="53"/>
      <c r="I82" s="53"/>
      <c r="J82" s="62"/>
    </row>
    <row r="83" spans="2:10" ht="29.25" customHeight="1" x14ac:dyDescent="0.25">
      <c r="B83" s="27" t="s">
        <v>34</v>
      </c>
      <c r="C83" s="1" t="s">
        <v>8</v>
      </c>
      <c r="D83" s="14" t="s">
        <v>427</v>
      </c>
      <c r="E83" s="53">
        <f t="shared" si="5"/>
        <v>3</v>
      </c>
      <c r="F83" s="53">
        <f>SUM('sav.f. 3 '!F74)</f>
        <v>3</v>
      </c>
      <c r="G83" s="53"/>
      <c r="H83" s="53"/>
      <c r="I83" s="53"/>
      <c r="J83" s="62"/>
    </row>
    <row r="84" spans="2:10" ht="18.75" customHeight="1" x14ac:dyDescent="0.25">
      <c r="B84" s="27" t="s">
        <v>35</v>
      </c>
      <c r="C84" s="100" t="s">
        <v>112</v>
      </c>
      <c r="D84" s="100" t="s">
        <v>14</v>
      </c>
      <c r="E84" s="53">
        <f t="shared" si="5"/>
        <v>94.7</v>
      </c>
      <c r="F84" s="53">
        <f>SUM('sav.f. 3 '!F76)</f>
        <v>20.400000000000002</v>
      </c>
      <c r="G84" s="53">
        <f>SUM('Valst.f. 4'!F55:F56)</f>
        <v>71.3</v>
      </c>
      <c r="H84" s="53"/>
      <c r="I84" s="53"/>
      <c r="J84" s="53">
        <f>SUM(Spec.7!G29)</f>
        <v>3</v>
      </c>
    </row>
    <row r="85" spans="2:10" ht="17.25" customHeight="1" x14ac:dyDescent="0.25">
      <c r="B85" s="239" t="s">
        <v>414</v>
      </c>
      <c r="C85" s="239"/>
      <c r="D85" s="239"/>
      <c r="E85" s="64">
        <f t="shared" si="5"/>
        <v>324.70000000000005</v>
      </c>
      <c r="F85" s="64">
        <f>SUM(F80:F84)</f>
        <v>149.4</v>
      </c>
      <c r="G85" s="64">
        <f>SUM(G80:G84)</f>
        <v>172.3</v>
      </c>
      <c r="H85" s="64">
        <f>SUM(H80:H84)</f>
        <v>0</v>
      </c>
      <c r="I85" s="64">
        <f>SUM(I80:I84)</f>
        <v>0</v>
      </c>
      <c r="J85" s="64">
        <f>SUM(J80:J84)</f>
        <v>3</v>
      </c>
    </row>
    <row r="86" spans="2:10" ht="19.5" customHeight="1" x14ac:dyDescent="0.25">
      <c r="B86" s="237" t="s">
        <v>195</v>
      </c>
      <c r="C86" s="237"/>
      <c r="D86" s="237"/>
      <c r="E86" s="237"/>
      <c r="F86" s="237"/>
      <c r="G86" s="237"/>
      <c r="H86" s="237"/>
      <c r="I86" s="237"/>
      <c r="J86" s="237"/>
    </row>
    <row r="87" spans="2:10" ht="16.5" customHeight="1" x14ac:dyDescent="0.25">
      <c r="B87" s="27" t="s">
        <v>31</v>
      </c>
      <c r="C87" s="1" t="s">
        <v>17</v>
      </c>
      <c r="D87" s="1" t="s">
        <v>158</v>
      </c>
      <c r="E87" s="53">
        <f>SUM(F87:J87)</f>
        <v>460.10000000000008</v>
      </c>
      <c r="F87" s="53">
        <f>SUM('sav.f. 3 '!F81)</f>
        <v>436.40000000000003</v>
      </c>
      <c r="G87" s="53">
        <f>'Valst.f. 4'!F57</f>
        <v>23.1</v>
      </c>
      <c r="H87" s="53"/>
      <c r="I87" s="53"/>
      <c r="J87" s="53">
        <f>SUM(Spec.7!G32)</f>
        <v>0.6</v>
      </c>
    </row>
    <row r="88" spans="2:10" ht="16.5" customHeight="1" x14ac:dyDescent="0.25">
      <c r="B88" s="27" t="s">
        <v>32</v>
      </c>
      <c r="C88" s="1" t="s">
        <v>18</v>
      </c>
      <c r="D88" s="1" t="s">
        <v>6</v>
      </c>
      <c r="E88" s="53">
        <f t="shared" ref="E88:E94" si="6">SUM(F88:J88)</f>
        <v>101.3</v>
      </c>
      <c r="F88" s="53">
        <f>SUM('sav.f. 3 '!F82)</f>
        <v>96.399999999999991</v>
      </c>
      <c r="G88" s="53">
        <f>'Valst.f. 4'!F58</f>
        <v>4.9000000000000004</v>
      </c>
      <c r="H88" s="53"/>
      <c r="I88" s="53"/>
      <c r="J88" s="62"/>
    </row>
    <row r="89" spans="2:10" ht="16.5" customHeight="1" x14ac:dyDescent="0.25">
      <c r="B89" s="27" t="s">
        <v>33</v>
      </c>
      <c r="C89" s="1" t="s">
        <v>8</v>
      </c>
      <c r="D89" s="1" t="s">
        <v>144</v>
      </c>
      <c r="E89" s="53">
        <f>SUM(F89:J89)</f>
        <v>787.3</v>
      </c>
      <c r="F89" s="53">
        <f>SUM('sav.f. 3 '!F77,-I89)</f>
        <v>331.59999999999997</v>
      </c>
      <c r="G89" s="53">
        <f>'Valst.f. 4'!F59</f>
        <v>19.5</v>
      </c>
      <c r="H89" s="53"/>
      <c r="I89" s="53">
        <f>431.2+5</f>
        <v>436.2</v>
      </c>
      <c r="J89" s="62"/>
    </row>
    <row r="90" spans="2:10" ht="16.5" customHeight="1" x14ac:dyDescent="0.25">
      <c r="B90" s="27" t="s">
        <v>34</v>
      </c>
      <c r="C90" s="1" t="s">
        <v>8</v>
      </c>
      <c r="D90" s="1" t="s">
        <v>352</v>
      </c>
      <c r="E90" s="53">
        <f t="shared" si="6"/>
        <v>195</v>
      </c>
      <c r="F90" s="53"/>
      <c r="G90" s="53">
        <f>SUM('Valst.f. 4'!I60)</f>
        <v>195</v>
      </c>
      <c r="H90" s="53"/>
      <c r="I90" s="53"/>
      <c r="J90" s="62"/>
    </row>
    <row r="91" spans="2:10" ht="16.5" customHeight="1" x14ac:dyDescent="0.25">
      <c r="B91" s="27" t="s">
        <v>35</v>
      </c>
      <c r="C91" s="1" t="s">
        <v>8</v>
      </c>
      <c r="D91" s="16" t="s">
        <v>366</v>
      </c>
      <c r="E91" s="53">
        <f t="shared" si="6"/>
        <v>5</v>
      </c>
      <c r="F91" s="53">
        <f>SUM('sav.f. 3 '!F78)</f>
        <v>5</v>
      </c>
      <c r="G91" s="53"/>
      <c r="H91" s="53"/>
      <c r="I91" s="53"/>
      <c r="J91" s="62"/>
    </row>
    <row r="92" spans="2:10" ht="19.5" customHeight="1" x14ac:dyDescent="0.25">
      <c r="B92" s="27" t="s">
        <v>36</v>
      </c>
      <c r="C92" s="1" t="s">
        <v>8</v>
      </c>
      <c r="D92" s="8" t="s">
        <v>367</v>
      </c>
      <c r="E92" s="53">
        <f t="shared" si="6"/>
        <v>20</v>
      </c>
      <c r="F92" s="53">
        <f>SUM('sav.f. 3 '!F80)</f>
        <v>20</v>
      </c>
      <c r="G92" s="53"/>
      <c r="H92" s="53"/>
      <c r="I92" s="53"/>
      <c r="J92" s="62"/>
    </row>
    <row r="93" spans="2:10" ht="19.5" customHeight="1" x14ac:dyDescent="0.25">
      <c r="B93" s="27" t="s">
        <v>37</v>
      </c>
      <c r="C93" s="1" t="s">
        <v>8</v>
      </c>
      <c r="D93" s="8" t="s">
        <v>396</v>
      </c>
      <c r="E93" s="53">
        <f t="shared" si="6"/>
        <v>26.400000000000002</v>
      </c>
      <c r="F93" s="53">
        <f>SUM('sav.f. 3 '!F79)</f>
        <v>26.400000000000002</v>
      </c>
      <c r="G93" s="53"/>
      <c r="H93" s="53"/>
      <c r="I93" s="53"/>
      <c r="J93" s="62"/>
    </row>
    <row r="94" spans="2:10" ht="20.25" customHeight="1" x14ac:dyDescent="0.25">
      <c r="B94" s="27" t="s">
        <v>38</v>
      </c>
      <c r="C94" s="1" t="s">
        <v>8</v>
      </c>
      <c r="D94" s="1" t="s">
        <v>361</v>
      </c>
      <c r="E94" s="53">
        <f t="shared" si="6"/>
        <v>299.5</v>
      </c>
      <c r="F94" s="53">
        <f>SUM('sav.f. 3 '!F101)</f>
        <v>299.5</v>
      </c>
      <c r="G94" s="53"/>
      <c r="H94" s="53"/>
      <c r="I94" s="53"/>
      <c r="J94" s="62"/>
    </row>
    <row r="95" spans="2:10" ht="18" customHeight="1" x14ac:dyDescent="0.25">
      <c r="B95" s="239" t="s">
        <v>413</v>
      </c>
      <c r="C95" s="239"/>
      <c r="D95" s="239"/>
      <c r="E95" s="64">
        <f>SUM(F95:J95)</f>
        <v>1894.6000000000001</v>
      </c>
      <c r="F95" s="59">
        <f>SUM(F87:F94)</f>
        <v>1215.3000000000002</v>
      </c>
      <c r="G95" s="59">
        <f>SUM(G87:G94)</f>
        <v>242.5</v>
      </c>
      <c r="H95" s="59">
        <f>SUM(H87:H94)</f>
        <v>0</v>
      </c>
      <c r="I95" s="59">
        <f>SUM(I87:I94)</f>
        <v>436.2</v>
      </c>
      <c r="J95" s="59">
        <f>SUM(J87:J94)</f>
        <v>0.6</v>
      </c>
    </row>
    <row r="96" spans="2:10" ht="18" customHeight="1" x14ac:dyDescent="0.25">
      <c r="B96" s="237" t="s">
        <v>196</v>
      </c>
      <c r="C96" s="237"/>
      <c r="D96" s="237"/>
      <c r="E96" s="237"/>
      <c r="F96" s="237"/>
      <c r="G96" s="237"/>
      <c r="H96" s="237"/>
      <c r="I96" s="237"/>
      <c r="J96" s="237"/>
    </row>
    <row r="97" spans="2:10" ht="18" customHeight="1" x14ac:dyDescent="0.25">
      <c r="B97" s="27" t="s">
        <v>31</v>
      </c>
      <c r="C97" s="1" t="s">
        <v>8</v>
      </c>
      <c r="D97" s="16" t="s">
        <v>340</v>
      </c>
      <c r="E97" s="58">
        <f>SUM(F97:J97)</f>
        <v>68.699999999999974</v>
      </c>
      <c r="F97" s="58">
        <f>SUM('sav.f. 3 '!F83)</f>
        <v>68.699999999999974</v>
      </c>
      <c r="G97" s="60"/>
      <c r="H97" s="60"/>
      <c r="I97" s="60"/>
      <c r="J97" s="62"/>
    </row>
    <row r="98" spans="2:10" ht="18" customHeight="1" x14ac:dyDescent="0.25">
      <c r="B98" s="27" t="s">
        <v>32</v>
      </c>
      <c r="C98" s="1" t="s">
        <v>8</v>
      </c>
      <c r="D98" s="1" t="s">
        <v>429</v>
      </c>
      <c r="E98" s="58">
        <f>SUM(F98:J98)</f>
        <v>7</v>
      </c>
      <c r="F98" s="58">
        <f>SUM('sav.f. 3 '!F85)</f>
        <v>7</v>
      </c>
      <c r="G98" s="60"/>
      <c r="H98" s="60"/>
      <c r="I98" s="60"/>
      <c r="J98" s="62"/>
    </row>
    <row r="99" spans="2:10" ht="33" customHeight="1" x14ac:dyDescent="0.25">
      <c r="B99" s="27" t="s">
        <v>33</v>
      </c>
      <c r="C99" s="1" t="s">
        <v>8</v>
      </c>
      <c r="D99" s="16" t="s">
        <v>430</v>
      </c>
      <c r="E99" s="58">
        <f>SUM(F99:J99)</f>
        <v>10.5</v>
      </c>
      <c r="F99" s="58">
        <f>SUM('sav.f. 3 '!F108)</f>
        <v>10.5</v>
      </c>
      <c r="G99" s="60"/>
      <c r="H99" s="60"/>
      <c r="I99" s="60"/>
      <c r="J99" s="62"/>
    </row>
    <row r="100" spans="2:10" ht="21.75" customHeight="1" x14ac:dyDescent="0.25">
      <c r="B100" s="27" t="s">
        <v>34</v>
      </c>
      <c r="C100" s="1" t="s">
        <v>8</v>
      </c>
      <c r="D100" s="1" t="s">
        <v>296</v>
      </c>
      <c r="E100" s="58">
        <f>SUM(F100:J100)</f>
        <v>68</v>
      </c>
      <c r="F100" s="58">
        <f>SUM('sav.f. 3 '!F84)</f>
        <v>68</v>
      </c>
      <c r="G100" s="60"/>
      <c r="H100" s="60"/>
      <c r="I100" s="60"/>
      <c r="J100" s="62"/>
    </row>
    <row r="101" spans="2:10" ht="23.25" customHeight="1" x14ac:dyDescent="0.25">
      <c r="B101" s="239" t="s">
        <v>412</v>
      </c>
      <c r="C101" s="239"/>
      <c r="D101" s="239"/>
      <c r="E101" s="64">
        <f>SUM(F101:J101)</f>
        <v>154.19999999999999</v>
      </c>
      <c r="F101" s="64">
        <f>SUM(F97:F100)</f>
        <v>154.19999999999999</v>
      </c>
      <c r="G101" s="64">
        <f>SUM(G97:G98)</f>
        <v>0</v>
      </c>
      <c r="H101" s="64">
        <f>SUM(H97:H98)</f>
        <v>0</v>
      </c>
      <c r="I101" s="64">
        <f>SUM(I97:I100)</f>
        <v>0</v>
      </c>
      <c r="J101" s="64">
        <f>SUM(J97:J98)</f>
        <v>0</v>
      </c>
    </row>
    <row r="102" spans="2:10" ht="15.75" customHeight="1" x14ac:dyDescent="0.25">
      <c r="B102" s="237" t="s">
        <v>197</v>
      </c>
      <c r="C102" s="237"/>
      <c r="D102" s="237"/>
      <c r="E102" s="237"/>
      <c r="F102" s="237"/>
      <c r="G102" s="237"/>
      <c r="H102" s="237"/>
      <c r="I102" s="237"/>
      <c r="J102" s="237"/>
    </row>
    <row r="103" spans="2:10" ht="32.25" customHeight="1" x14ac:dyDescent="0.25">
      <c r="B103" s="28" t="s">
        <v>31</v>
      </c>
      <c r="C103" s="35" t="s">
        <v>316</v>
      </c>
      <c r="D103" s="2" t="s">
        <v>168</v>
      </c>
      <c r="E103" s="60">
        <f>SUM(F103:J103)</f>
        <v>553.69999999999993</v>
      </c>
      <c r="F103" s="60">
        <f>SUM('sav.f. 3 '!F86)</f>
        <v>264.89999999999998</v>
      </c>
      <c r="G103" s="60"/>
      <c r="H103" s="60">
        <f>SUM('MK 5'!F14)</f>
        <v>254.39999999999998</v>
      </c>
      <c r="I103" s="60"/>
      <c r="J103" s="60">
        <f>SUM(Spec.7!G15:H15)</f>
        <v>34.4</v>
      </c>
    </row>
    <row r="104" spans="2:10" ht="32.25" customHeight="1" x14ac:dyDescent="0.25">
      <c r="B104" s="27" t="s">
        <v>32</v>
      </c>
      <c r="C104" s="8" t="s">
        <v>317</v>
      </c>
      <c r="D104" s="1" t="s">
        <v>168</v>
      </c>
      <c r="E104" s="53">
        <f t="shared" ref="E104:E119" si="7">SUM(F104:J104)</f>
        <v>557.4</v>
      </c>
      <c r="F104" s="53">
        <f>SUM('sav.f. 3 '!F87)</f>
        <v>256.7</v>
      </c>
      <c r="G104" s="60"/>
      <c r="H104" s="53">
        <f>SUM('MK 5'!F15)</f>
        <v>267.7</v>
      </c>
      <c r="I104" s="53"/>
      <c r="J104" s="53">
        <f>SUM(Spec.7!G16)</f>
        <v>33</v>
      </c>
    </row>
    <row r="105" spans="2:10" ht="34.5" customHeight="1" x14ac:dyDescent="0.25">
      <c r="B105" s="27" t="s">
        <v>33</v>
      </c>
      <c r="C105" s="8" t="s">
        <v>318</v>
      </c>
      <c r="D105" s="1" t="s">
        <v>169</v>
      </c>
      <c r="E105" s="53">
        <f t="shared" si="7"/>
        <v>54.6</v>
      </c>
      <c r="F105" s="53">
        <f>SUM('sav.f. 3 '!F88)</f>
        <v>29.1</v>
      </c>
      <c r="G105" s="60"/>
      <c r="H105" s="53">
        <f>SUM('MK 5'!F16)</f>
        <v>23.1</v>
      </c>
      <c r="I105" s="53"/>
      <c r="J105" s="53">
        <f>SUM(Spec.7!G14:H14)</f>
        <v>2.4000000000000004</v>
      </c>
    </row>
    <row r="106" spans="2:10" ht="18.75" customHeight="1" x14ac:dyDescent="0.25">
      <c r="B106" s="27" t="s">
        <v>34</v>
      </c>
      <c r="C106" s="8" t="s">
        <v>319</v>
      </c>
      <c r="D106" s="1" t="s">
        <v>353</v>
      </c>
      <c r="E106" s="58">
        <f t="shared" si="7"/>
        <v>281.8</v>
      </c>
      <c r="F106" s="60">
        <f>SUM('sav.f. 3 '!F89)</f>
        <v>74.399999999999991</v>
      </c>
      <c r="G106" s="60"/>
      <c r="H106" s="60">
        <f>SUM('MK 5'!F17)</f>
        <v>207.4</v>
      </c>
      <c r="I106" s="60"/>
      <c r="J106" s="53"/>
    </row>
    <row r="107" spans="2:10" ht="17.25" customHeight="1" x14ac:dyDescent="0.25">
      <c r="B107" s="27" t="s">
        <v>35</v>
      </c>
      <c r="C107" s="8" t="s">
        <v>320</v>
      </c>
      <c r="D107" s="1" t="s">
        <v>353</v>
      </c>
      <c r="E107" s="58">
        <f t="shared" si="7"/>
        <v>1.1000000000000001</v>
      </c>
      <c r="F107" s="60">
        <f>SUM('sav.f. 3 '!F90)</f>
        <v>1.1000000000000001</v>
      </c>
      <c r="G107" s="60"/>
      <c r="H107" s="60"/>
      <c r="I107" s="60"/>
      <c r="J107" s="53"/>
    </row>
    <row r="108" spans="2:10" ht="33" customHeight="1" x14ac:dyDescent="0.25">
      <c r="B108" s="27" t="s">
        <v>36</v>
      </c>
      <c r="C108" s="8" t="s">
        <v>321</v>
      </c>
      <c r="D108" s="1" t="s">
        <v>353</v>
      </c>
      <c r="E108" s="58">
        <f t="shared" si="7"/>
        <v>348.6</v>
      </c>
      <c r="F108" s="60">
        <f>SUM('sav.f. 3 '!F91)</f>
        <v>116.5</v>
      </c>
      <c r="G108" s="60"/>
      <c r="H108" s="60">
        <f>SUM('MK 5'!F18)</f>
        <v>230.60000000000002</v>
      </c>
      <c r="I108" s="60"/>
      <c r="J108" s="53">
        <f>SUM(Spec.7!G27)</f>
        <v>1.5</v>
      </c>
    </row>
    <row r="109" spans="2:10" ht="18" customHeight="1" x14ac:dyDescent="0.25">
      <c r="B109" s="27" t="s">
        <v>37</v>
      </c>
      <c r="C109" s="22" t="s">
        <v>322</v>
      </c>
      <c r="D109" s="1" t="s">
        <v>353</v>
      </c>
      <c r="E109" s="58">
        <f t="shared" si="7"/>
        <v>420.50000000000006</v>
      </c>
      <c r="F109" s="60">
        <f>SUM('sav.f. 3 '!F92)</f>
        <v>214.3</v>
      </c>
      <c r="G109" s="60"/>
      <c r="H109" s="60">
        <f>SUM('MK 5'!F19)</f>
        <v>202.9</v>
      </c>
      <c r="I109" s="60"/>
      <c r="J109" s="53">
        <f>SUM(Spec.7!G24)</f>
        <v>3.3</v>
      </c>
    </row>
    <row r="110" spans="2:10" ht="18" customHeight="1" x14ac:dyDescent="0.25">
      <c r="B110" s="27" t="s">
        <v>38</v>
      </c>
      <c r="C110" s="22" t="s">
        <v>323</v>
      </c>
      <c r="D110" s="1" t="s">
        <v>353</v>
      </c>
      <c r="E110" s="58">
        <f t="shared" si="7"/>
        <v>238.89999999999998</v>
      </c>
      <c r="F110" s="60">
        <f>SUM('sav.f. 3 '!F93)</f>
        <v>76.5</v>
      </c>
      <c r="G110" s="60"/>
      <c r="H110" s="60">
        <f>SUM('MK 5'!F20)</f>
        <v>162.19999999999999</v>
      </c>
      <c r="I110" s="60"/>
      <c r="J110" s="53">
        <f>SUM(Spec.7!G23)</f>
        <v>0.2</v>
      </c>
    </row>
    <row r="111" spans="2:10" ht="18" customHeight="1" x14ac:dyDescent="0.25">
      <c r="B111" s="27" t="s">
        <v>39</v>
      </c>
      <c r="C111" s="22" t="s">
        <v>324</v>
      </c>
      <c r="D111" s="1" t="s">
        <v>353</v>
      </c>
      <c r="E111" s="58">
        <f t="shared" si="7"/>
        <v>234.29999999999998</v>
      </c>
      <c r="F111" s="60">
        <f>SUM('sav.f. 3 '!F94)</f>
        <v>77.900000000000006</v>
      </c>
      <c r="G111" s="60"/>
      <c r="H111" s="60">
        <f>SUM('MK 5'!F21)</f>
        <v>156.39999999999998</v>
      </c>
      <c r="I111" s="60"/>
      <c r="J111" s="53"/>
    </row>
    <row r="112" spans="2:10" ht="18" customHeight="1" x14ac:dyDescent="0.25">
      <c r="B112" s="27" t="s">
        <v>40</v>
      </c>
      <c r="C112" s="1" t="s">
        <v>325</v>
      </c>
      <c r="D112" s="1" t="s">
        <v>353</v>
      </c>
      <c r="E112" s="58">
        <f t="shared" si="7"/>
        <v>355.59999999999991</v>
      </c>
      <c r="F112" s="60">
        <f>SUM('sav.f. 3 '!F95)</f>
        <v>119.19999999999999</v>
      </c>
      <c r="G112" s="60"/>
      <c r="H112" s="60">
        <f>SUM('MK 5'!F22)</f>
        <v>235.99999999999997</v>
      </c>
      <c r="I112" s="60"/>
      <c r="J112" s="53">
        <f>SUM(Spec.7!G21)</f>
        <v>0.4</v>
      </c>
    </row>
    <row r="113" spans="2:10" ht="18" customHeight="1" x14ac:dyDescent="0.25">
      <c r="B113" s="27" t="s">
        <v>41</v>
      </c>
      <c r="C113" s="1" t="s">
        <v>326</v>
      </c>
      <c r="D113" s="1" t="s">
        <v>353</v>
      </c>
      <c r="E113" s="58">
        <f t="shared" si="7"/>
        <v>388.59999999999997</v>
      </c>
      <c r="F113" s="60">
        <f>SUM('sav.f. 3 '!F96)</f>
        <v>161.5</v>
      </c>
      <c r="G113" s="60"/>
      <c r="H113" s="60">
        <f>SUM('MK 5'!F23)</f>
        <v>226.7</v>
      </c>
      <c r="I113" s="60"/>
      <c r="J113" s="53">
        <f>SUM(Spec.7!G22)</f>
        <v>0.4</v>
      </c>
    </row>
    <row r="114" spans="2:10" ht="18" customHeight="1" x14ac:dyDescent="0.25">
      <c r="B114" s="27" t="s">
        <v>42</v>
      </c>
      <c r="C114" s="6" t="s">
        <v>376</v>
      </c>
      <c r="D114" s="1" t="s">
        <v>353</v>
      </c>
      <c r="E114" s="53">
        <f t="shared" si="7"/>
        <v>1037.5</v>
      </c>
      <c r="F114" s="53">
        <f>SUM('sav.f. 3 '!F97)</f>
        <v>387.1</v>
      </c>
      <c r="G114" s="60">
        <f>SUM('Valst.f. 4'!F63)</f>
        <v>103</v>
      </c>
      <c r="H114" s="53">
        <f>SUM('MK 5'!F24)</f>
        <v>532.69999999999993</v>
      </c>
      <c r="I114" s="53"/>
      <c r="J114" s="53">
        <f>SUM(Spec.7!G19:H19)</f>
        <v>14.7</v>
      </c>
    </row>
    <row r="115" spans="2:10" ht="30.75" customHeight="1" x14ac:dyDescent="0.25">
      <c r="B115" s="27" t="s">
        <v>43</v>
      </c>
      <c r="C115" s="8" t="s">
        <v>328</v>
      </c>
      <c r="D115" s="1" t="s">
        <v>353</v>
      </c>
      <c r="E115" s="53">
        <f t="shared" si="7"/>
        <v>682.69999999999993</v>
      </c>
      <c r="F115" s="53">
        <f>SUM('sav.f. 3 '!F98)</f>
        <v>260.09999999999997</v>
      </c>
      <c r="G115" s="60"/>
      <c r="H115" s="53">
        <f>SUM('MK 5'!F25)</f>
        <v>419.7</v>
      </c>
      <c r="I115" s="53"/>
      <c r="J115" s="53">
        <f>SUM(Spec.7!G20)</f>
        <v>2.9</v>
      </c>
    </row>
    <row r="116" spans="2:10" ht="32.25" customHeight="1" x14ac:dyDescent="0.25">
      <c r="B116" s="27" t="s">
        <v>44</v>
      </c>
      <c r="C116" s="8" t="s">
        <v>327</v>
      </c>
      <c r="D116" s="1" t="s">
        <v>353</v>
      </c>
      <c r="E116" s="66">
        <f t="shared" si="7"/>
        <v>1310.0999999999999</v>
      </c>
      <c r="F116" s="53">
        <f>SUM('sav.f. 3 '!F99)</f>
        <v>302.29999999999995</v>
      </c>
      <c r="G116" s="53">
        <f>SUM('Valst.f. 4'!F64)</f>
        <v>17.2</v>
      </c>
      <c r="H116" s="53">
        <f>SUM('MK 5'!F26)</f>
        <v>982.6</v>
      </c>
      <c r="I116" s="53"/>
      <c r="J116" s="53">
        <f>SUM(Spec.7!G17)</f>
        <v>8</v>
      </c>
    </row>
    <row r="117" spans="2:10" ht="18.75" customHeight="1" x14ac:dyDescent="0.25">
      <c r="B117" s="27" t="s">
        <v>45</v>
      </c>
      <c r="C117" s="8" t="s">
        <v>25</v>
      </c>
      <c r="D117" s="19" t="s">
        <v>156</v>
      </c>
      <c r="E117" s="66">
        <f t="shared" si="7"/>
        <v>375.7</v>
      </c>
      <c r="F117" s="60">
        <f>SUM('sav.f. 3 '!F100)</f>
        <v>298.2</v>
      </c>
      <c r="G117" s="53"/>
      <c r="H117" s="60">
        <f>SUM('MK 5'!F27)</f>
        <v>41.9</v>
      </c>
      <c r="I117" s="60"/>
      <c r="J117" s="53">
        <f>SUM(Spec.7!G25:H25)</f>
        <v>35.6</v>
      </c>
    </row>
    <row r="118" spans="2:10" ht="18" customHeight="1" x14ac:dyDescent="0.25">
      <c r="B118" s="27" t="s">
        <v>46</v>
      </c>
      <c r="C118" s="1" t="s">
        <v>8</v>
      </c>
      <c r="D118" s="19" t="s">
        <v>67</v>
      </c>
      <c r="E118" s="66">
        <f t="shared" si="7"/>
        <v>97.5</v>
      </c>
      <c r="F118" s="53">
        <f>SUM('sav.f. 3 '!F102)</f>
        <v>67.400000000000006</v>
      </c>
      <c r="G118" s="53"/>
      <c r="H118" s="53">
        <f>SUM('MK 5'!G28)</f>
        <v>30.1</v>
      </c>
      <c r="I118" s="53"/>
      <c r="J118" s="53"/>
    </row>
    <row r="119" spans="2:10" ht="21.75" customHeight="1" x14ac:dyDescent="0.25">
      <c r="B119" s="27" t="s">
        <v>47</v>
      </c>
      <c r="C119" s="1" t="s">
        <v>8</v>
      </c>
      <c r="D119" s="19" t="s">
        <v>198</v>
      </c>
      <c r="E119" s="66">
        <f t="shared" si="7"/>
        <v>109</v>
      </c>
      <c r="F119" s="53"/>
      <c r="G119" s="53"/>
      <c r="H119" s="53"/>
      <c r="I119" s="53">
        <f>SUM('sav.f. 3 '!G103)</f>
        <v>109</v>
      </c>
      <c r="J119" s="53"/>
    </row>
    <row r="120" spans="2:10" ht="20.25" customHeight="1" x14ac:dyDescent="0.25">
      <c r="B120" s="27" t="s">
        <v>48</v>
      </c>
      <c r="C120" s="3" t="s">
        <v>8</v>
      </c>
      <c r="D120" s="18" t="s">
        <v>106</v>
      </c>
      <c r="E120" s="58">
        <f>SUM(F120:J120)</f>
        <v>4.9000000000000004</v>
      </c>
      <c r="F120" s="53">
        <f>SUM('sav.f. 3 '!F104)</f>
        <v>4.9000000000000004</v>
      </c>
      <c r="G120" s="53"/>
      <c r="H120" s="53"/>
      <c r="I120" s="53"/>
      <c r="J120" s="53"/>
    </row>
    <row r="121" spans="2:10" ht="21" customHeight="1" x14ac:dyDescent="0.25">
      <c r="B121" s="27" t="s">
        <v>49</v>
      </c>
      <c r="C121" s="1" t="s">
        <v>8</v>
      </c>
      <c r="D121" s="16" t="s">
        <v>312</v>
      </c>
      <c r="E121" s="53">
        <f>SUM(F121:J121)</f>
        <v>7</v>
      </c>
      <c r="F121" s="53">
        <f>SUM('sav.f. 3 '!G28)</f>
        <v>7</v>
      </c>
      <c r="G121" s="53"/>
      <c r="H121" s="53"/>
      <c r="I121" s="53"/>
      <c r="J121" s="53"/>
    </row>
    <row r="122" spans="2:10" ht="21" customHeight="1" x14ac:dyDescent="0.25">
      <c r="B122" s="27" t="s">
        <v>50</v>
      </c>
      <c r="C122" s="1" t="s">
        <v>8</v>
      </c>
      <c r="D122" s="14" t="s">
        <v>478</v>
      </c>
      <c r="E122" s="53">
        <f>SUM(F122:J122)</f>
        <v>0.69999999999999973</v>
      </c>
      <c r="F122" s="53">
        <f>SUM('sav.f. 3 '!F105)</f>
        <v>0.69999999999999973</v>
      </c>
      <c r="G122" s="53"/>
      <c r="H122" s="53"/>
      <c r="I122" s="53"/>
      <c r="J122" s="53"/>
    </row>
    <row r="123" spans="2:10" ht="21" customHeight="1" x14ac:dyDescent="0.25">
      <c r="B123" s="27" t="s">
        <v>51</v>
      </c>
      <c r="C123" s="1" t="s">
        <v>8</v>
      </c>
      <c r="D123" s="1" t="s">
        <v>156</v>
      </c>
      <c r="E123" s="53">
        <f>SUM(F123:J123)</f>
        <v>66.099999999999994</v>
      </c>
      <c r="F123" s="53"/>
      <c r="G123" s="53">
        <f>'Valst.f. 4'!F65</f>
        <v>50.1</v>
      </c>
      <c r="H123" s="53">
        <f>SUM('MK 5'!F29)</f>
        <v>16</v>
      </c>
      <c r="I123" s="53"/>
      <c r="J123" s="53"/>
    </row>
    <row r="124" spans="2:10" ht="23.25" customHeight="1" x14ac:dyDescent="0.25">
      <c r="B124" s="239" t="s">
        <v>411</v>
      </c>
      <c r="C124" s="239"/>
      <c r="D124" s="239"/>
      <c r="E124" s="64">
        <f>SUM(F124:J124)</f>
        <v>7126.3</v>
      </c>
      <c r="F124" s="64">
        <f>SUM(F103:F123)</f>
        <v>2719.8</v>
      </c>
      <c r="G124" s="64">
        <f>SUM(G103:G123)</f>
        <v>170.3</v>
      </c>
      <c r="H124" s="64">
        <f>SUM(H103:H123)</f>
        <v>3990.3999999999996</v>
      </c>
      <c r="I124" s="64">
        <f>SUM(I103:I123)</f>
        <v>109</v>
      </c>
      <c r="J124" s="64">
        <f>SUM(J103:J123)</f>
        <v>136.80000000000004</v>
      </c>
    </row>
    <row r="125" spans="2:10" ht="21.75" customHeight="1" x14ac:dyDescent="0.25">
      <c r="B125" s="237" t="s">
        <v>199</v>
      </c>
      <c r="C125" s="237"/>
      <c r="D125" s="237"/>
      <c r="E125" s="237"/>
      <c r="F125" s="237"/>
      <c r="G125" s="237"/>
      <c r="H125" s="237"/>
      <c r="I125" s="237"/>
      <c r="J125" s="237"/>
    </row>
    <row r="126" spans="2:10" ht="34.5" customHeight="1" x14ac:dyDescent="0.25">
      <c r="B126" s="27" t="s">
        <v>31</v>
      </c>
      <c r="C126" s="42" t="s">
        <v>107</v>
      </c>
      <c r="D126" s="23" t="s">
        <v>200</v>
      </c>
      <c r="E126" s="58">
        <f>SUM(F126:J126)</f>
        <v>143.5</v>
      </c>
      <c r="F126" s="60">
        <f>SUM('sav.f. 3 '!F107)</f>
        <v>113.9</v>
      </c>
      <c r="G126" s="60"/>
      <c r="H126" s="58"/>
      <c r="I126" s="58"/>
      <c r="J126" s="53">
        <f>SUM(Spec.7!G28:H28)</f>
        <v>29.6</v>
      </c>
    </row>
    <row r="127" spans="2:10" ht="18.75" customHeight="1" x14ac:dyDescent="0.25">
      <c r="B127" s="27" t="s">
        <v>32</v>
      </c>
      <c r="C127" s="1" t="s">
        <v>8</v>
      </c>
      <c r="D127" s="19" t="s">
        <v>155</v>
      </c>
      <c r="E127" s="66">
        <f t="shared" ref="E127:E145" si="8">SUM(F127:J127)</f>
        <v>667.09999999999991</v>
      </c>
      <c r="F127" s="53">
        <f>SUM('sav.f. 3 '!F109:F112)</f>
        <v>232.7</v>
      </c>
      <c r="G127" s="53">
        <f>SUM('Valst.f. 4'!F52,'Valst.f. 4'!F54)</f>
        <v>434.4</v>
      </c>
      <c r="H127" s="66"/>
      <c r="I127" s="66"/>
      <c r="J127" s="62"/>
    </row>
    <row r="128" spans="2:10" ht="18.75" customHeight="1" x14ac:dyDescent="0.25">
      <c r="B128" s="27" t="s">
        <v>33</v>
      </c>
      <c r="C128" s="1" t="s">
        <v>8</v>
      </c>
      <c r="D128" s="1" t="s">
        <v>108</v>
      </c>
      <c r="E128" s="53">
        <f t="shared" si="8"/>
        <v>3.5</v>
      </c>
      <c r="F128" s="53">
        <f>SUM('sav.f. 3 '!F116)</f>
        <v>3.5</v>
      </c>
      <c r="G128" s="53"/>
      <c r="H128" s="53"/>
      <c r="I128" s="53"/>
      <c r="J128" s="62"/>
    </row>
    <row r="129" spans="2:10" ht="18.75" customHeight="1" x14ac:dyDescent="0.25">
      <c r="B129" s="27" t="s">
        <v>34</v>
      </c>
      <c r="C129" s="1" t="s">
        <v>8</v>
      </c>
      <c r="D129" s="19" t="s">
        <v>19</v>
      </c>
      <c r="E129" s="66">
        <f t="shared" si="8"/>
        <v>15</v>
      </c>
      <c r="F129" s="53">
        <f>SUM('sav.f. 3 '!F113)</f>
        <v>15</v>
      </c>
      <c r="G129" s="53"/>
      <c r="H129" s="66"/>
      <c r="I129" s="66"/>
      <c r="J129" s="62"/>
    </row>
    <row r="130" spans="2:10" ht="16.5" customHeight="1" x14ac:dyDescent="0.25">
      <c r="B130" s="27" t="s">
        <v>35</v>
      </c>
      <c r="C130" s="1" t="s">
        <v>8</v>
      </c>
      <c r="D130" s="1" t="s">
        <v>281</v>
      </c>
      <c r="E130" s="99">
        <f t="shared" si="8"/>
        <v>1374</v>
      </c>
      <c r="F130" s="66">
        <f>'sav.f. 3 '!F114+'sav.f. 3 '!F115-I130</f>
        <v>423.5</v>
      </c>
      <c r="G130" s="99">
        <f>SUM('Valst.f. 4'!F32,'Valst.f. 4'!F34)</f>
        <v>138.20000000000002</v>
      </c>
      <c r="H130" s="99"/>
      <c r="I130" s="99">
        <f>830.5-18.2</f>
        <v>812.3</v>
      </c>
      <c r="J130" s="27"/>
    </row>
    <row r="131" spans="2:10" ht="16.5" customHeight="1" x14ac:dyDescent="0.25">
      <c r="B131" s="27" t="s">
        <v>36</v>
      </c>
      <c r="C131" s="1" t="s">
        <v>8</v>
      </c>
      <c r="D131" s="1" t="s">
        <v>350</v>
      </c>
      <c r="E131" s="53">
        <f t="shared" si="8"/>
        <v>2</v>
      </c>
      <c r="F131" s="53">
        <f>SUM('sav.f. 3 '!F117)</f>
        <v>2</v>
      </c>
      <c r="G131" s="53"/>
      <c r="H131" s="49"/>
      <c r="I131" s="49"/>
      <c r="J131" s="27"/>
    </row>
    <row r="132" spans="2:10" ht="16.5" customHeight="1" x14ac:dyDescent="0.25">
      <c r="B132" s="27" t="s">
        <v>37</v>
      </c>
      <c r="C132" s="1" t="s">
        <v>8</v>
      </c>
      <c r="D132" s="1" t="s">
        <v>282</v>
      </c>
      <c r="E132" s="53">
        <f t="shared" si="8"/>
        <v>3</v>
      </c>
      <c r="F132" s="53">
        <f>SUM('sav.f. 3 '!F118)</f>
        <v>3</v>
      </c>
      <c r="G132" s="53"/>
      <c r="H132" s="49"/>
      <c r="I132" s="49"/>
      <c r="J132" s="27"/>
    </row>
    <row r="133" spans="2:10" ht="19.5" customHeight="1" x14ac:dyDescent="0.25">
      <c r="B133" s="27" t="s">
        <v>38</v>
      </c>
      <c r="C133" s="1" t="s">
        <v>8</v>
      </c>
      <c r="D133" s="100" t="s">
        <v>127</v>
      </c>
      <c r="E133" s="53">
        <f t="shared" si="8"/>
        <v>47</v>
      </c>
      <c r="F133" s="53"/>
      <c r="G133" s="53">
        <f>SUM('Valst.f. 4'!F35)</f>
        <v>47</v>
      </c>
      <c r="H133" s="49"/>
      <c r="I133" s="49"/>
      <c r="J133" s="27"/>
    </row>
    <row r="134" spans="2:10" ht="31.5" customHeight="1" x14ac:dyDescent="0.25">
      <c r="B134" s="27" t="s">
        <v>39</v>
      </c>
      <c r="C134" s="20" t="s">
        <v>316</v>
      </c>
      <c r="D134" s="43" t="s">
        <v>127</v>
      </c>
      <c r="E134" s="58">
        <f t="shared" si="8"/>
        <v>10</v>
      </c>
      <c r="F134" s="52"/>
      <c r="G134" s="53">
        <f>SUM('Valst.f. 4'!F37)</f>
        <v>10</v>
      </c>
      <c r="H134" s="49"/>
      <c r="I134" s="49"/>
      <c r="J134" s="49"/>
    </row>
    <row r="135" spans="2:10" ht="31.5" customHeight="1" x14ac:dyDescent="0.25">
      <c r="B135" s="27" t="s">
        <v>40</v>
      </c>
      <c r="C135" s="8" t="s">
        <v>317</v>
      </c>
      <c r="D135" s="44" t="s">
        <v>127</v>
      </c>
      <c r="E135" s="58">
        <f t="shared" si="8"/>
        <v>10</v>
      </c>
      <c r="F135" s="52"/>
      <c r="G135" s="53">
        <f>SUM('Valst.f. 4'!F38)</f>
        <v>10</v>
      </c>
      <c r="H135" s="49"/>
      <c r="I135" s="49"/>
      <c r="J135" s="49"/>
    </row>
    <row r="136" spans="2:10" ht="28.5" customHeight="1" x14ac:dyDescent="0.25">
      <c r="B136" s="27" t="s">
        <v>41</v>
      </c>
      <c r="C136" s="8" t="s">
        <v>318</v>
      </c>
      <c r="D136" s="21" t="s">
        <v>127</v>
      </c>
      <c r="E136" s="58">
        <f t="shared" si="8"/>
        <v>0</v>
      </c>
      <c r="F136" s="66"/>
      <c r="G136" s="53">
        <f>SUM('Valst.f. 4'!F39)</f>
        <v>0</v>
      </c>
      <c r="H136" s="49"/>
      <c r="I136" s="49"/>
      <c r="J136" s="27"/>
    </row>
    <row r="137" spans="2:10" ht="20.25" customHeight="1" x14ac:dyDescent="0.25">
      <c r="B137" s="27" t="s">
        <v>42</v>
      </c>
      <c r="C137" s="8" t="s">
        <v>319</v>
      </c>
      <c r="D137" s="21" t="s">
        <v>127</v>
      </c>
      <c r="E137" s="58">
        <f t="shared" si="8"/>
        <v>14</v>
      </c>
      <c r="F137" s="66"/>
      <c r="G137" s="53">
        <f>SUM('Valst.f. 4'!F40)</f>
        <v>14</v>
      </c>
      <c r="H137" s="49"/>
      <c r="I137" s="49"/>
      <c r="J137" s="27"/>
    </row>
    <row r="138" spans="2:10" ht="34.5" customHeight="1" x14ac:dyDescent="0.25">
      <c r="B138" s="27" t="s">
        <v>43</v>
      </c>
      <c r="C138" s="8" t="s">
        <v>321</v>
      </c>
      <c r="D138" s="100" t="s">
        <v>127</v>
      </c>
      <c r="E138" s="53">
        <f t="shared" si="8"/>
        <v>12</v>
      </c>
      <c r="F138" s="53"/>
      <c r="G138" s="53">
        <f>SUM('Valst.f. 4'!F41)</f>
        <v>12</v>
      </c>
      <c r="H138" s="49"/>
      <c r="I138" s="49"/>
      <c r="J138" s="49"/>
    </row>
    <row r="139" spans="2:10" ht="18" customHeight="1" x14ac:dyDescent="0.25">
      <c r="B139" s="27" t="s">
        <v>44</v>
      </c>
      <c r="C139" s="22" t="s">
        <v>322</v>
      </c>
      <c r="D139" s="21" t="s">
        <v>127</v>
      </c>
      <c r="E139" s="58">
        <f t="shared" si="8"/>
        <v>8</v>
      </c>
      <c r="F139" s="53"/>
      <c r="G139" s="53">
        <f>SUM('Valst.f. 4'!F42)</f>
        <v>8</v>
      </c>
      <c r="H139" s="99"/>
      <c r="I139" s="99"/>
      <c r="J139" s="27"/>
    </row>
    <row r="140" spans="2:10" ht="18" customHeight="1" x14ac:dyDescent="0.25">
      <c r="B140" s="27" t="s">
        <v>45</v>
      </c>
      <c r="C140" s="22" t="s">
        <v>323</v>
      </c>
      <c r="D140" s="10" t="s">
        <v>127</v>
      </c>
      <c r="E140" s="58">
        <f t="shared" si="8"/>
        <v>12</v>
      </c>
      <c r="F140" s="53"/>
      <c r="G140" s="53">
        <f>SUM('Valst.f. 4'!F43)</f>
        <v>12</v>
      </c>
      <c r="H140" s="99"/>
      <c r="I140" s="99"/>
      <c r="J140" s="27"/>
    </row>
    <row r="141" spans="2:10" ht="17.25" customHeight="1" x14ac:dyDescent="0.25">
      <c r="B141" s="27" t="s">
        <v>46</v>
      </c>
      <c r="C141" s="22" t="s">
        <v>324</v>
      </c>
      <c r="D141" s="21" t="s">
        <v>127</v>
      </c>
      <c r="E141" s="66">
        <f t="shared" si="8"/>
        <v>11</v>
      </c>
      <c r="F141" s="53"/>
      <c r="G141" s="53">
        <f>SUM('Valst.f. 4'!F44)</f>
        <v>11</v>
      </c>
      <c r="H141" s="99"/>
      <c r="I141" s="99"/>
      <c r="J141" s="27"/>
    </row>
    <row r="142" spans="2:10" ht="17.25" customHeight="1" x14ac:dyDescent="0.25">
      <c r="B142" s="27" t="s">
        <v>47</v>
      </c>
      <c r="C142" s="1" t="s">
        <v>325</v>
      </c>
      <c r="D142" s="21" t="s">
        <v>127</v>
      </c>
      <c r="E142" s="53">
        <f t="shared" si="8"/>
        <v>14</v>
      </c>
      <c r="F142" s="53"/>
      <c r="G142" s="53">
        <f>SUM('Valst.f. 4'!F45)</f>
        <v>14</v>
      </c>
      <c r="H142" s="99"/>
      <c r="I142" s="99"/>
      <c r="J142" s="27"/>
    </row>
    <row r="143" spans="2:10" ht="17.25" customHeight="1" x14ac:dyDescent="0.25">
      <c r="B143" s="27" t="s">
        <v>48</v>
      </c>
      <c r="C143" s="1" t="s">
        <v>326</v>
      </c>
      <c r="D143" s="10" t="s">
        <v>127</v>
      </c>
      <c r="E143" s="66">
        <f t="shared" si="8"/>
        <v>11</v>
      </c>
      <c r="F143" s="53"/>
      <c r="G143" s="53">
        <f>SUM('Valst.f. 4'!F46)</f>
        <v>11</v>
      </c>
      <c r="H143" s="99"/>
      <c r="I143" s="99"/>
      <c r="J143" s="27"/>
    </row>
    <row r="144" spans="2:10" ht="17.25" customHeight="1" x14ac:dyDescent="0.25">
      <c r="B144" s="27" t="s">
        <v>49</v>
      </c>
      <c r="C144" s="1" t="s">
        <v>377</v>
      </c>
      <c r="D144" s="21" t="s">
        <v>127</v>
      </c>
      <c r="E144" s="58">
        <f t="shared" si="8"/>
        <v>23</v>
      </c>
      <c r="F144" s="53"/>
      <c r="G144" s="53">
        <f>SUM('Valst.f. 4'!F47)</f>
        <v>23</v>
      </c>
      <c r="H144" s="99"/>
      <c r="I144" s="99"/>
      <c r="J144" s="27"/>
    </row>
    <row r="145" spans="2:10" ht="32.25" customHeight="1" x14ac:dyDescent="0.25">
      <c r="B145" s="27" t="s">
        <v>50</v>
      </c>
      <c r="C145" s="8" t="s">
        <v>328</v>
      </c>
      <c r="D145" s="10" t="s">
        <v>127</v>
      </c>
      <c r="E145" s="66">
        <f t="shared" si="8"/>
        <v>28.2</v>
      </c>
      <c r="F145" s="53"/>
      <c r="G145" s="53">
        <f>SUM('Valst.f. 4'!F48)</f>
        <v>28.2</v>
      </c>
      <c r="H145" s="99"/>
      <c r="I145" s="99"/>
      <c r="J145" s="27"/>
    </row>
    <row r="146" spans="2:10" ht="30" customHeight="1" x14ac:dyDescent="0.25">
      <c r="B146" s="27" t="s">
        <v>51</v>
      </c>
      <c r="C146" s="8" t="s">
        <v>327</v>
      </c>
      <c r="D146" s="10" t="s">
        <v>127</v>
      </c>
      <c r="E146" s="66">
        <f>SUM(F146:J146)</f>
        <v>33.5</v>
      </c>
      <c r="F146" s="53"/>
      <c r="G146" s="53">
        <f>SUM('Valst.f. 4'!F49)</f>
        <v>33.5</v>
      </c>
      <c r="H146" s="99"/>
      <c r="I146" s="99"/>
      <c r="J146" s="27"/>
    </row>
    <row r="147" spans="2:10" ht="18.75" customHeight="1" x14ac:dyDescent="0.25">
      <c r="B147" s="239" t="s">
        <v>410</v>
      </c>
      <c r="C147" s="239"/>
      <c r="D147" s="239"/>
      <c r="E147" s="63">
        <f>SUM(F147:J147)</f>
        <v>2441.7999999999997</v>
      </c>
      <c r="F147" s="102">
        <f>SUM(F126:F146)</f>
        <v>793.6</v>
      </c>
      <c r="G147" s="102">
        <f>SUM(G126:G146)</f>
        <v>806.30000000000007</v>
      </c>
      <c r="H147" s="63">
        <f>SUM(H126:H146)</f>
        <v>0</v>
      </c>
      <c r="I147" s="102">
        <f>SUM(I126:I146)</f>
        <v>812.3</v>
      </c>
      <c r="J147" s="64">
        <f>SUM(J126:J146)</f>
        <v>29.6</v>
      </c>
    </row>
    <row r="148" spans="2:10" ht="18.75" customHeight="1" x14ac:dyDescent="0.25">
      <c r="B148" s="239" t="s">
        <v>409</v>
      </c>
      <c r="C148" s="239"/>
      <c r="D148" s="239"/>
      <c r="E148" s="63">
        <f>SUM(E21,E26,E30,E36,E39,E42,E45,E67,E70,E73,E78,E85,E95,E101,E124,E147)</f>
        <v>18853</v>
      </c>
      <c r="F148" s="63">
        <f t="shared" ref="F148:J148" si="9">SUM(F21,F26,F30,F36,F39,F42,F45,F67,F70,F73,F78,F85,F95,F101,F124,F147)</f>
        <v>9104.8000000000011</v>
      </c>
      <c r="G148" s="63">
        <f t="shared" si="9"/>
        <v>4107.2000000000007</v>
      </c>
      <c r="H148" s="63">
        <f t="shared" si="9"/>
        <v>3990.3999999999996</v>
      </c>
      <c r="I148" s="63">
        <f t="shared" si="9"/>
        <v>1452</v>
      </c>
      <c r="J148" s="64">
        <f t="shared" si="9"/>
        <v>198.60000000000005</v>
      </c>
    </row>
  </sheetData>
  <mergeCells count="47">
    <mergeCell ref="C6:J6"/>
    <mergeCell ref="C8:J8"/>
    <mergeCell ref="J10:J13"/>
    <mergeCell ref="C9:C13"/>
    <mergeCell ref="E9:E13"/>
    <mergeCell ref="F9:J9"/>
    <mergeCell ref="G11:G13"/>
    <mergeCell ref="H11:H13"/>
    <mergeCell ref="C7:J7"/>
    <mergeCell ref="B14:J14"/>
    <mergeCell ref="B67:D67"/>
    <mergeCell ref="B70:D70"/>
    <mergeCell ref="B73:D73"/>
    <mergeCell ref="D9:D13"/>
    <mergeCell ref="F10:F13"/>
    <mergeCell ref="G10:H10"/>
    <mergeCell ref="B30:D30"/>
    <mergeCell ref="B9:B13"/>
    <mergeCell ref="I10:I13"/>
    <mergeCell ref="B21:D21"/>
    <mergeCell ref="B45:D45"/>
    <mergeCell ref="B40:J40"/>
    <mergeCell ref="B39:D39"/>
    <mergeCell ref="B22:J22"/>
    <mergeCell ref="B26:D26"/>
    <mergeCell ref="B31:J31"/>
    <mergeCell ref="B36:D36"/>
    <mergeCell ref="B37:J37"/>
    <mergeCell ref="B74:J74"/>
    <mergeCell ref="B42:D42"/>
    <mergeCell ref="B43:J43"/>
    <mergeCell ref="B27:J27"/>
    <mergeCell ref="B78:D78"/>
    <mergeCell ref="B79:J79"/>
    <mergeCell ref="B71:J71"/>
    <mergeCell ref="B148:D148"/>
    <mergeCell ref="B85:D85"/>
    <mergeCell ref="B86:J86"/>
    <mergeCell ref="B95:D95"/>
    <mergeCell ref="B96:J96"/>
    <mergeCell ref="B147:D147"/>
    <mergeCell ref="B101:D101"/>
    <mergeCell ref="B125:J125"/>
    <mergeCell ref="B124:D124"/>
    <mergeCell ref="B102:J102"/>
    <mergeCell ref="B46:J46"/>
    <mergeCell ref="B68:J68"/>
  </mergeCells>
  <phoneticPr fontId="0" type="noConversion"/>
  <pageMargins left="0" right="0" top="0.39370078740157483" bottom="0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8</vt:i4>
      </vt:variant>
    </vt:vector>
  </HeadingPairs>
  <TitlesOfParts>
    <vt:vector size="8" baseType="lpstr">
      <vt:lpstr>pajamos </vt:lpstr>
      <vt:lpstr>Asign.2</vt:lpstr>
      <vt:lpstr>sav.f. 3 </vt:lpstr>
      <vt:lpstr>Valst.f. 4</vt:lpstr>
      <vt:lpstr>MK 5</vt:lpstr>
      <vt:lpstr>AARP.6</vt:lpstr>
      <vt:lpstr>Spec.7</vt:lpstr>
      <vt:lpstr>Progr.8</vt:lpstr>
    </vt:vector>
  </TitlesOfParts>
  <Company>Lazdiju raj.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Finansu skyrius</dc:creator>
  <cp:lastModifiedBy>Laima Jauniskiene</cp:lastModifiedBy>
  <cp:lastPrinted>2016-11-29T09:06:59Z</cp:lastPrinted>
  <dcterms:created xsi:type="dcterms:W3CDTF">2001-02-14T07:46:15Z</dcterms:created>
  <dcterms:modified xsi:type="dcterms:W3CDTF">2016-12-14T12:42:02Z</dcterms:modified>
</cp:coreProperties>
</file>