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05" yWindow="5715" windowWidth="11655" windowHeight="2400"/>
  </bookViews>
  <sheets>
    <sheet name="pajamos " sheetId="1" r:id="rId1"/>
    <sheet name="Asign.2" sheetId="16" r:id="rId2"/>
    <sheet name="sav.f. 3 " sheetId="10" r:id="rId3"/>
    <sheet name="Valst.f. 4" sheetId="11" r:id="rId4"/>
    <sheet name="MK 5" sheetId="12" r:id="rId5"/>
    <sheet name="AARP.6" sheetId="9" r:id="rId6"/>
    <sheet name="Spec.7" sheetId="8" r:id="rId7"/>
    <sheet name="Progr.8" sheetId="5" r:id="rId8"/>
    <sheet name="Lik. 9" sheetId="17" r:id="rId9"/>
  </sheets>
  <calcPr calcId="145621"/>
</workbook>
</file>

<file path=xl/calcChain.xml><?xml version="1.0" encoding="utf-8"?>
<calcChain xmlns="http://schemas.openxmlformats.org/spreadsheetml/2006/main">
  <c r="G74" i="10" l="1"/>
  <c r="G18" i="10"/>
  <c r="D120" i="5" l="1"/>
  <c r="E120" i="5"/>
  <c r="H128" i="5"/>
  <c r="I23" i="9"/>
  <c r="I19" i="9"/>
  <c r="D36" i="16"/>
  <c r="G89" i="10"/>
  <c r="H89" i="10"/>
  <c r="G106" i="10"/>
  <c r="H106" i="10"/>
  <c r="G44" i="10"/>
  <c r="I43" i="10"/>
  <c r="G43" i="10"/>
  <c r="I51" i="10"/>
  <c r="G51" i="10"/>
  <c r="G104" i="10"/>
  <c r="G113" i="10"/>
  <c r="F103" i="10"/>
  <c r="F104" i="10"/>
  <c r="G80" i="10"/>
  <c r="G119" i="10"/>
  <c r="G15" i="10"/>
  <c r="H26" i="1"/>
  <c r="G22" i="10" l="1"/>
  <c r="G99" i="10"/>
  <c r="G46" i="10" l="1"/>
  <c r="G42" i="10"/>
  <c r="F17" i="5" l="1"/>
  <c r="F61" i="11"/>
  <c r="F64" i="5" s="1"/>
  <c r="F60" i="11"/>
  <c r="G37" i="10"/>
  <c r="H37" i="10"/>
  <c r="I65" i="5" l="1"/>
  <c r="D35" i="16" l="1"/>
  <c r="H26" i="8"/>
  <c r="I36" i="10"/>
  <c r="F15" i="16" s="1"/>
  <c r="G98" i="10"/>
  <c r="G77" i="10"/>
  <c r="G70" i="10"/>
  <c r="F59" i="11" l="1"/>
  <c r="F111" i="5" s="1"/>
  <c r="F29" i="16" l="1"/>
  <c r="I63" i="11"/>
  <c r="E15" i="16" l="1"/>
  <c r="F51" i="10" l="1"/>
  <c r="F19" i="10"/>
  <c r="F35" i="16" l="1"/>
  <c r="F114" i="10" l="1"/>
  <c r="I16" i="9" l="1"/>
  <c r="E35" i="16" l="1"/>
  <c r="H23" i="8"/>
  <c r="G120" i="10"/>
  <c r="F99" i="10" l="1"/>
  <c r="F31" i="10"/>
  <c r="E43" i="5" s="1"/>
  <c r="F16" i="11" l="1"/>
  <c r="E30" i="17" l="1"/>
  <c r="E28" i="17"/>
  <c r="E26" i="17"/>
  <c r="E24" i="17"/>
  <c r="F12" i="17"/>
  <c r="F31" i="17" s="1"/>
  <c r="E18" i="17" l="1"/>
  <c r="E22" i="17"/>
  <c r="E14" i="17" l="1"/>
  <c r="E15" i="17"/>
  <c r="E31" i="17" l="1"/>
  <c r="D23" i="16" l="1"/>
  <c r="D28" i="8" l="1"/>
  <c r="E28" i="8"/>
  <c r="H11" i="8"/>
  <c r="H12" i="8"/>
  <c r="H13" i="8"/>
  <c r="H14" i="8"/>
  <c r="H15" i="8"/>
  <c r="H16" i="8"/>
  <c r="H17" i="8"/>
  <c r="H18" i="8"/>
  <c r="H19" i="8"/>
  <c r="H20" i="8"/>
  <c r="H21" i="8"/>
  <c r="H22" i="8"/>
  <c r="I105" i="5" s="1"/>
  <c r="H24" i="8"/>
  <c r="H25" i="8"/>
  <c r="H27" i="8"/>
  <c r="H63" i="11" l="1"/>
  <c r="G63" i="11"/>
  <c r="F56" i="11"/>
  <c r="F51" i="11"/>
  <c r="F63" i="11" l="1"/>
  <c r="I81" i="5"/>
  <c r="F109" i="10" l="1"/>
  <c r="F110" i="10"/>
  <c r="F111" i="10"/>
  <c r="E20" i="17"/>
  <c r="E19" i="17"/>
  <c r="E17" i="17"/>
  <c r="E16" i="17"/>
  <c r="E13" i="17"/>
  <c r="H12" i="17"/>
  <c r="G12" i="17"/>
  <c r="E12" i="17" l="1"/>
  <c r="E32" i="16" l="1"/>
  <c r="H10" i="8"/>
  <c r="E34" i="5" l="1"/>
  <c r="F118" i="10"/>
  <c r="G115" i="5"/>
  <c r="E86" i="5"/>
  <c r="I31" i="9" l="1"/>
  <c r="I35" i="9"/>
  <c r="I29" i="9"/>
  <c r="H28" i="1"/>
  <c r="H21" i="1"/>
  <c r="H20" i="1"/>
  <c r="H9" i="1"/>
  <c r="H32" i="12"/>
  <c r="I32" i="12"/>
  <c r="G32" i="12"/>
  <c r="F30" i="12"/>
  <c r="G121" i="5" s="1"/>
  <c r="D121" i="5" s="1"/>
  <c r="F29" i="12"/>
  <c r="F55" i="11"/>
  <c r="F81" i="5" s="1"/>
  <c r="F62" i="11"/>
  <c r="F58" i="11"/>
  <c r="F78" i="5" s="1"/>
  <c r="F49" i="10"/>
  <c r="F24" i="16"/>
  <c r="F26" i="16"/>
  <c r="F18" i="16"/>
  <c r="F17" i="16"/>
  <c r="F31" i="16"/>
  <c r="F30" i="16"/>
  <c r="F22" i="16"/>
  <c r="F25" i="16"/>
  <c r="F27" i="16"/>
  <c r="F18" i="10"/>
  <c r="F23" i="10"/>
  <c r="E20" i="5" s="1"/>
  <c r="D20" i="5" s="1"/>
  <c r="F96" i="10"/>
  <c r="E112" i="5" s="1"/>
  <c r="F77" i="10"/>
  <c r="E89" i="5" s="1"/>
  <c r="D89" i="5" s="1"/>
  <c r="H120" i="10"/>
  <c r="F46" i="10"/>
  <c r="I120" i="10"/>
  <c r="F31" i="12"/>
  <c r="H21" i="5"/>
  <c r="I20" i="9"/>
  <c r="E30" i="16"/>
  <c r="F38" i="10"/>
  <c r="F119" i="10"/>
  <c r="E75" i="5" s="1"/>
  <c r="H147" i="5"/>
  <c r="H148" i="5" s="1"/>
  <c r="H122" i="5"/>
  <c r="H97" i="5"/>
  <c r="H91" i="5"/>
  <c r="H82" i="5"/>
  <c r="H76" i="5"/>
  <c r="H69" i="5"/>
  <c r="H66" i="5"/>
  <c r="H44" i="5"/>
  <c r="H41" i="5"/>
  <c r="H38" i="5"/>
  <c r="H35" i="5"/>
  <c r="H26" i="5"/>
  <c r="H30" i="5" s="1"/>
  <c r="F21" i="16"/>
  <c r="F32" i="16"/>
  <c r="F14" i="12"/>
  <c r="G100" i="5" s="1"/>
  <c r="F15" i="12"/>
  <c r="G101" i="5" s="1"/>
  <c r="F16" i="12"/>
  <c r="G102" i="5" s="1"/>
  <c r="F17" i="12"/>
  <c r="G103" i="5" s="1"/>
  <c r="F18" i="12"/>
  <c r="G104" i="5" s="1"/>
  <c r="F19" i="12"/>
  <c r="G105" i="5" s="1"/>
  <c r="F20" i="12"/>
  <c r="G106" i="5" s="1"/>
  <c r="F21" i="12"/>
  <c r="G107" i="5" s="1"/>
  <c r="F22" i="12"/>
  <c r="G108" i="5" s="1"/>
  <c r="F23" i="12"/>
  <c r="G109" i="5" s="1"/>
  <c r="F24" i="12"/>
  <c r="G110" i="5" s="1"/>
  <c r="F25" i="12"/>
  <c r="G111" i="5" s="1"/>
  <c r="F26" i="12"/>
  <c r="G112" i="5" s="1"/>
  <c r="F27" i="12"/>
  <c r="G113" i="5" s="1"/>
  <c r="F28" i="12"/>
  <c r="G114" i="5" s="1"/>
  <c r="G91" i="5"/>
  <c r="F13" i="12"/>
  <c r="G99" i="5" s="1"/>
  <c r="F20" i="16"/>
  <c r="F19" i="16"/>
  <c r="F43" i="10"/>
  <c r="E119" i="5"/>
  <c r="D119" i="5" s="1"/>
  <c r="F87" i="5"/>
  <c r="D87" i="5" s="1"/>
  <c r="F57" i="11"/>
  <c r="F54" i="11"/>
  <c r="F19" i="11"/>
  <c r="F16" i="10"/>
  <c r="F34" i="11"/>
  <c r="F78" i="10"/>
  <c r="E84" i="5" s="1"/>
  <c r="F75" i="10"/>
  <c r="F95" i="10"/>
  <c r="E111" i="5" s="1"/>
  <c r="F93" i="10"/>
  <c r="E109" i="5" s="1"/>
  <c r="F36" i="10"/>
  <c r="E71" i="5" s="1"/>
  <c r="D26" i="16"/>
  <c r="F33" i="16"/>
  <c r="D34" i="16"/>
  <c r="F34" i="16"/>
  <c r="F36" i="16"/>
  <c r="E33" i="5"/>
  <c r="D33" i="5" s="1"/>
  <c r="F33" i="10"/>
  <c r="F81" i="10"/>
  <c r="E96" i="5" s="1"/>
  <c r="D96" i="5" s="1"/>
  <c r="F69" i="5"/>
  <c r="G69" i="5"/>
  <c r="I69" i="5"/>
  <c r="F24" i="10"/>
  <c r="E23" i="5" s="1"/>
  <c r="F28" i="10"/>
  <c r="E28" i="5" s="1"/>
  <c r="F26" i="5"/>
  <c r="F30" i="5" s="1"/>
  <c r="G26" i="5"/>
  <c r="G30" i="5" s="1"/>
  <c r="I26" i="5"/>
  <c r="I30" i="5" s="1"/>
  <c r="F30" i="10"/>
  <c r="E46" i="5" s="1"/>
  <c r="F40" i="10"/>
  <c r="F44" i="10"/>
  <c r="F48" i="10"/>
  <c r="G66" i="5"/>
  <c r="I66" i="5"/>
  <c r="F70" i="10"/>
  <c r="E78" i="5" s="1"/>
  <c r="F72" i="10"/>
  <c r="E80" i="5" s="1"/>
  <c r="D80" i="5" s="1"/>
  <c r="G82" i="5"/>
  <c r="I82" i="5"/>
  <c r="F82" i="10"/>
  <c r="E94" i="5" s="1"/>
  <c r="D94" i="5" s="1"/>
  <c r="F80" i="10"/>
  <c r="E93" i="5" s="1"/>
  <c r="F97" i="5"/>
  <c r="G97" i="5"/>
  <c r="I97" i="5"/>
  <c r="F73" i="10"/>
  <c r="I21" i="5"/>
  <c r="G21" i="5"/>
  <c r="F35" i="5"/>
  <c r="G35" i="5"/>
  <c r="I35" i="5"/>
  <c r="F38" i="5"/>
  <c r="G38" i="5"/>
  <c r="I38" i="5"/>
  <c r="F79" i="10"/>
  <c r="E85" i="5" s="1"/>
  <c r="D33" i="16"/>
  <c r="F83" i="10"/>
  <c r="E99" i="5" s="1"/>
  <c r="F84" i="10"/>
  <c r="E100" i="5" s="1"/>
  <c r="F87" i="10"/>
  <c r="E103" i="5" s="1"/>
  <c r="F88" i="10"/>
  <c r="E104" i="5" s="1"/>
  <c r="F90" i="10"/>
  <c r="E106" i="5" s="1"/>
  <c r="F91" i="10"/>
  <c r="E107" i="5" s="1"/>
  <c r="F92" i="10"/>
  <c r="E108" i="5" s="1"/>
  <c r="F97" i="10"/>
  <c r="E113" i="5" s="1"/>
  <c r="D17" i="16"/>
  <c r="I100" i="5"/>
  <c r="I101" i="5"/>
  <c r="I102" i="5"/>
  <c r="D24" i="16"/>
  <c r="D25" i="16"/>
  <c r="I109" i="5"/>
  <c r="I110" i="5"/>
  <c r="I111" i="5"/>
  <c r="D29" i="16"/>
  <c r="D31" i="16"/>
  <c r="D30" i="16"/>
  <c r="I113" i="5"/>
  <c r="I114" i="5"/>
  <c r="G147" i="5"/>
  <c r="E41" i="5"/>
  <c r="G41" i="5"/>
  <c r="I41" i="5"/>
  <c r="E44" i="5"/>
  <c r="G44" i="5"/>
  <c r="I44" i="5"/>
  <c r="F35" i="11"/>
  <c r="F132" i="5" s="1"/>
  <c r="D132" i="5" s="1"/>
  <c r="F102" i="10"/>
  <c r="E118" i="5" s="1"/>
  <c r="D118" i="5" s="1"/>
  <c r="E50" i="16"/>
  <c r="F50" i="16"/>
  <c r="D50" i="16"/>
  <c r="F52" i="10"/>
  <c r="E74" i="5" s="1"/>
  <c r="F20" i="10"/>
  <c r="F105" i="10"/>
  <c r="F22" i="10"/>
  <c r="G76" i="5"/>
  <c r="I76" i="5"/>
  <c r="F25" i="10"/>
  <c r="E24" i="5" s="1"/>
  <c r="D24" i="5" s="1"/>
  <c r="F52" i="11"/>
  <c r="F39" i="16"/>
  <c r="F40" i="16"/>
  <c r="F41" i="16"/>
  <c r="F42" i="16"/>
  <c r="F43" i="16"/>
  <c r="F44" i="16"/>
  <c r="F45" i="16"/>
  <c r="F46" i="16"/>
  <c r="F47" i="16"/>
  <c r="F48" i="16"/>
  <c r="F49" i="16"/>
  <c r="E39" i="16"/>
  <c r="E40" i="16"/>
  <c r="E41" i="16"/>
  <c r="E42" i="16"/>
  <c r="E43" i="16"/>
  <c r="E44" i="16"/>
  <c r="E45" i="16"/>
  <c r="E46" i="16"/>
  <c r="E47" i="16"/>
  <c r="E48" i="16"/>
  <c r="E49" i="16"/>
  <c r="E38" i="16"/>
  <c r="F38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E37" i="16"/>
  <c r="F37" i="16"/>
  <c r="D37" i="16"/>
  <c r="E36" i="16"/>
  <c r="E34" i="16"/>
  <c r="E33" i="16"/>
  <c r="E31" i="16"/>
  <c r="E29" i="16"/>
  <c r="E28" i="16"/>
  <c r="E27" i="16"/>
  <c r="E26" i="16"/>
  <c r="E25" i="16"/>
  <c r="E24" i="16"/>
  <c r="E23" i="16"/>
  <c r="E22" i="16"/>
  <c r="D22" i="16"/>
  <c r="E21" i="16"/>
  <c r="D21" i="16"/>
  <c r="E20" i="16"/>
  <c r="E19" i="16"/>
  <c r="E17" i="16"/>
  <c r="E18" i="16"/>
  <c r="E16" i="16"/>
  <c r="F16" i="16"/>
  <c r="D16" i="16"/>
  <c r="F15" i="11"/>
  <c r="F17" i="11"/>
  <c r="F18" i="11"/>
  <c r="F20" i="11"/>
  <c r="F21" i="11"/>
  <c r="F22" i="11"/>
  <c r="F23" i="11"/>
  <c r="F25" i="11"/>
  <c r="F26" i="11"/>
  <c r="F28" i="11"/>
  <c r="F53" i="11"/>
  <c r="F108" i="10"/>
  <c r="E125" i="5" s="1"/>
  <c r="F117" i="10"/>
  <c r="E130" i="5" s="1"/>
  <c r="D130" i="5" s="1"/>
  <c r="F116" i="10"/>
  <c r="E129" i="5" s="1"/>
  <c r="D129" i="5" s="1"/>
  <c r="F115" i="10"/>
  <c r="E126" i="5" s="1"/>
  <c r="D126" i="5" s="1"/>
  <c r="F113" i="10"/>
  <c r="F49" i="11"/>
  <c r="F146" i="5" s="1"/>
  <c r="D146" i="5" s="1"/>
  <c r="F74" i="10"/>
  <c r="E81" i="5" s="1"/>
  <c r="F35" i="10"/>
  <c r="E37" i="5" s="1"/>
  <c r="F32" i="10"/>
  <c r="E32" i="5" s="1"/>
  <c r="F34" i="10"/>
  <c r="F29" i="10"/>
  <c r="E29" i="5" s="1"/>
  <c r="D29" i="5" s="1"/>
  <c r="F26" i="10"/>
  <c r="E25" i="5" s="1"/>
  <c r="D25" i="5" s="1"/>
  <c r="F17" i="10"/>
  <c r="E16" i="5" s="1"/>
  <c r="F21" i="10"/>
  <c r="E19" i="5" s="1"/>
  <c r="D19" i="5" s="1"/>
  <c r="F27" i="10"/>
  <c r="F15" i="10"/>
  <c r="E15" i="5" s="1"/>
  <c r="D15" i="5" s="1"/>
  <c r="F106" i="10"/>
  <c r="F107" i="10"/>
  <c r="E95" i="5" s="1"/>
  <c r="D95" i="5" s="1"/>
  <c r="F112" i="10"/>
  <c r="E127" i="5" s="1"/>
  <c r="D127" i="5" s="1"/>
  <c r="F100" i="10"/>
  <c r="E115" i="5" s="1"/>
  <c r="D115" i="5" s="1"/>
  <c r="F85" i="10"/>
  <c r="E101" i="5" s="1"/>
  <c r="F86" i="10"/>
  <c r="E102" i="5" s="1"/>
  <c r="F98" i="10"/>
  <c r="E114" i="5" s="1"/>
  <c r="F101" i="10"/>
  <c r="E116" i="5" s="1"/>
  <c r="D116" i="5" s="1"/>
  <c r="F76" i="10"/>
  <c r="E88" i="5" s="1"/>
  <c r="D88" i="5" s="1"/>
  <c r="E90" i="5"/>
  <c r="F71" i="10"/>
  <c r="E79" i="5" s="1"/>
  <c r="D79" i="5" s="1"/>
  <c r="F53" i="10"/>
  <c r="E63" i="5" s="1"/>
  <c r="D63" i="5" s="1"/>
  <c r="F39" i="10"/>
  <c r="F56" i="10"/>
  <c r="F57" i="10"/>
  <c r="F41" i="10"/>
  <c r="F58" i="10"/>
  <c r="F42" i="10"/>
  <c r="F59" i="10"/>
  <c r="F60" i="10"/>
  <c r="F61" i="10"/>
  <c r="F45" i="10"/>
  <c r="F62" i="10"/>
  <c r="F63" i="10"/>
  <c r="F47" i="10"/>
  <c r="F64" i="10"/>
  <c r="F65" i="10"/>
  <c r="F66" i="10"/>
  <c r="F50" i="10"/>
  <c r="F67" i="10"/>
  <c r="F68" i="10"/>
  <c r="F37" i="10"/>
  <c r="E47" i="5" s="1"/>
  <c r="F69" i="10"/>
  <c r="E65" i="5" s="1"/>
  <c r="D65" i="5" s="1"/>
  <c r="E117" i="5"/>
  <c r="D117" i="5" s="1"/>
  <c r="F54" i="10"/>
  <c r="E62" i="5" s="1"/>
  <c r="D62" i="5" s="1"/>
  <c r="F24" i="11"/>
  <c r="F18" i="5" s="1"/>
  <c r="D18" i="5" s="1"/>
  <c r="F30" i="11"/>
  <c r="F40" i="5" s="1"/>
  <c r="D40" i="5" s="1"/>
  <c r="F29" i="11"/>
  <c r="F43" i="5" s="1"/>
  <c r="F27" i="11"/>
  <c r="F46" i="5" s="1"/>
  <c r="F66" i="5" s="1"/>
  <c r="F50" i="11"/>
  <c r="F75" i="5" s="1"/>
  <c r="F76" i="5" s="1"/>
  <c r="F32" i="11"/>
  <c r="F33" i="11"/>
  <c r="F131" i="5" s="1"/>
  <c r="F36" i="11"/>
  <c r="F133" i="5" s="1"/>
  <c r="D133" i="5" s="1"/>
  <c r="F37" i="11"/>
  <c r="F134" i="5" s="1"/>
  <c r="D134" i="5" s="1"/>
  <c r="F38" i="11"/>
  <c r="F135" i="5" s="1"/>
  <c r="D135" i="5" s="1"/>
  <c r="F39" i="11"/>
  <c r="F136" i="5" s="1"/>
  <c r="D136" i="5" s="1"/>
  <c r="F40" i="11"/>
  <c r="F137" i="5" s="1"/>
  <c r="D137" i="5" s="1"/>
  <c r="F41" i="11"/>
  <c r="F138" i="5" s="1"/>
  <c r="D138" i="5" s="1"/>
  <c r="F42" i="11"/>
  <c r="F139" i="5" s="1"/>
  <c r="D139" i="5" s="1"/>
  <c r="F43" i="11"/>
  <c r="F140" i="5" s="1"/>
  <c r="D140" i="5" s="1"/>
  <c r="F44" i="11"/>
  <c r="F141" i="5" s="1"/>
  <c r="D141" i="5" s="1"/>
  <c r="F45" i="11"/>
  <c r="F142" i="5" s="1"/>
  <c r="D142" i="5" s="1"/>
  <c r="F46" i="11"/>
  <c r="F143" i="5" s="1"/>
  <c r="D143" i="5" s="1"/>
  <c r="F47" i="11"/>
  <c r="F144" i="5" s="1"/>
  <c r="D144" i="5" s="1"/>
  <c r="F48" i="11"/>
  <c r="F145" i="5" s="1"/>
  <c r="D145" i="5" s="1"/>
  <c r="F28" i="8"/>
  <c r="G28" i="8"/>
  <c r="D34" i="5"/>
  <c r="D86" i="5"/>
  <c r="F23" i="16"/>
  <c r="F89" i="10"/>
  <c r="E105" i="5" s="1"/>
  <c r="F28" i="16"/>
  <c r="F94" i="10"/>
  <c r="E110" i="5" s="1"/>
  <c r="F55" i="10"/>
  <c r="E48" i="5" s="1"/>
  <c r="D48" i="5" s="1"/>
  <c r="I106" i="5"/>
  <c r="I99" i="5"/>
  <c r="I112" i="5"/>
  <c r="I124" i="5"/>
  <c r="I147" i="5" s="1"/>
  <c r="D19" i="16"/>
  <c r="F125" i="5" l="1"/>
  <c r="D125" i="5" s="1"/>
  <c r="D75" i="5"/>
  <c r="F21" i="5"/>
  <c r="F113" i="5"/>
  <c r="D113" i="5" s="1"/>
  <c r="F32" i="12"/>
  <c r="E54" i="5"/>
  <c r="D54" i="5" s="1"/>
  <c r="F120" i="10"/>
  <c r="E124" i="5"/>
  <c r="E147" i="5" s="1"/>
  <c r="C36" i="16"/>
  <c r="H28" i="8"/>
  <c r="E76" i="5"/>
  <c r="C23" i="16"/>
  <c r="E61" i="5"/>
  <c r="D61" i="5" s="1"/>
  <c r="E53" i="5"/>
  <c r="D53" i="5" s="1"/>
  <c r="F41" i="5"/>
  <c r="D41" i="5" s="1"/>
  <c r="D108" i="5"/>
  <c r="F44" i="5"/>
  <c r="D44" i="5" s="1"/>
  <c r="D43" i="5"/>
  <c r="E56" i="5"/>
  <c r="D56" i="5" s="1"/>
  <c r="F82" i="5"/>
  <c r="F91" i="5"/>
  <c r="D131" i="5"/>
  <c r="E59" i="5"/>
  <c r="D59" i="5" s="1"/>
  <c r="D103" i="5"/>
  <c r="F31" i="11"/>
  <c r="F128" i="5" s="1"/>
  <c r="D128" i="5" s="1"/>
  <c r="H38" i="1"/>
  <c r="H42" i="1" s="1"/>
  <c r="C17" i="16"/>
  <c r="E49" i="5"/>
  <c r="D49" i="5" s="1"/>
  <c r="E58" i="5"/>
  <c r="D58" i="5" s="1"/>
  <c r="C16" i="16"/>
  <c r="C19" i="16"/>
  <c r="C21" i="16"/>
  <c r="C29" i="16"/>
  <c r="C24" i="16"/>
  <c r="D32" i="16"/>
  <c r="C32" i="16" s="1"/>
  <c r="D27" i="16"/>
  <c r="C27" i="16" s="1"/>
  <c r="C31" i="16"/>
  <c r="C33" i="16"/>
  <c r="C35" i="16"/>
  <c r="C26" i="16"/>
  <c r="C25" i="16"/>
  <c r="D28" i="16"/>
  <c r="C28" i="16" s="1"/>
  <c r="D81" i="5"/>
  <c r="I40" i="9"/>
  <c r="D15" i="16" s="1"/>
  <c r="D20" i="16"/>
  <c r="C20" i="16" s="1"/>
  <c r="I107" i="5"/>
  <c r="D107" i="5" s="1"/>
  <c r="D18" i="16"/>
  <c r="C18" i="16" s="1"/>
  <c r="D102" i="5"/>
  <c r="I84" i="5"/>
  <c r="I91" i="5" s="1"/>
  <c r="C34" i="16"/>
  <c r="C22" i="16"/>
  <c r="E17" i="5"/>
  <c r="E21" i="5" s="1"/>
  <c r="C47" i="16"/>
  <c r="G122" i="5"/>
  <c r="G148" i="5" s="1"/>
  <c r="D110" i="5"/>
  <c r="D90" i="5"/>
  <c r="D114" i="5"/>
  <c r="D101" i="5"/>
  <c r="D104" i="5"/>
  <c r="D100" i="5"/>
  <c r="C30" i="16"/>
  <c r="C49" i="16"/>
  <c r="C48" i="16"/>
  <c r="C46" i="16"/>
  <c r="C44" i="16"/>
  <c r="C42" i="16"/>
  <c r="D106" i="5"/>
  <c r="C45" i="16"/>
  <c r="C43" i="16"/>
  <c r="E57" i="5"/>
  <c r="D57" i="5" s="1"/>
  <c r="E55" i="5"/>
  <c r="D55" i="5" s="1"/>
  <c r="C40" i="16"/>
  <c r="C38" i="16"/>
  <c r="D99" i="5"/>
  <c r="D46" i="5"/>
  <c r="D112" i="5"/>
  <c r="D74" i="5"/>
  <c r="D23" i="5"/>
  <c r="D26" i="5" s="1"/>
  <c r="E26" i="5"/>
  <c r="E30" i="5"/>
  <c r="D30" i="5" s="1"/>
  <c r="D28" i="5"/>
  <c r="E60" i="5"/>
  <c r="D60" i="5" s="1"/>
  <c r="E52" i="5"/>
  <c r="D52" i="5" s="1"/>
  <c r="E51" i="5"/>
  <c r="D51" i="5" s="1"/>
  <c r="E50" i="5"/>
  <c r="D50" i="5" s="1"/>
  <c r="E51" i="16"/>
  <c r="C37" i="16"/>
  <c r="C41" i="16"/>
  <c r="C39" i="16"/>
  <c r="D37" i="5"/>
  <c r="E38" i="5"/>
  <c r="D38" i="5" s="1"/>
  <c r="D109" i="5"/>
  <c r="D111" i="5"/>
  <c r="D47" i="5"/>
  <c r="D32" i="5"/>
  <c r="E35" i="5"/>
  <c r="D35" i="5" s="1"/>
  <c r="D93" i="5"/>
  <c r="E97" i="5"/>
  <c r="D97" i="5" s="1"/>
  <c r="E72" i="5"/>
  <c r="D71" i="5"/>
  <c r="D72" i="5" s="1"/>
  <c r="D105" i="5"/>
  <c r="E122" i="5"/>
  <c r="E91" i="5"/>
  <c r="D85" i="5"/>
  <c r="E82" i="5"/>
  <c r="D78" i="5"/>
  <c r="C50" i="16"/>
  <c r="F51" i="16"/>
  <c r="D16" i="5"/>
  <c r="D124" i="5" l="1"/>
  <c r="F122" i="5"/>
  <c r="D51" i="16"/>
  <c r="D76" i="5"/>
  <c r="I122" i="5"/>
  <c r="I148" i="5" s="1"/>
  <c r="D82" i="5"/>
  <c r="F147" i="5"/>
  <c r="D21" i="5"/>
  <c r="H40" i="1"/>
  <c r="D17" i="5"/>
  <c r="E68" i="5"/>
  <c r="D68" i="5" s="1"/>
  <c r="D91" i="5"/>
  <c r="D84" i="5"/>
  <c r="E66" i="5"/>
  <c r="D66" i="5" s="1"/>
  <c r="F148" i="5" l="1"/>
  <c r="C15" i="16"/>
  <c r="C51" i="16" s="1"/>
  <c r="D122" i="5"/>
  <c r="E69" i="5"/>
  <c r="D147" i="5"/>
  <c r="D69" i="5" l="1"/>
  <c r="D148" i="5" s="1"/>
  <c r="E148" i="5"/>
  <c r="I72" i="5"/>
  <c r="H72" i="5"/>
  <c r="F72" i="5"/>
  <c r="G72" i="5"/>
</calcChain>
</file>

<file path=xl/sharedStrings.xml><?xml version="1.0" encoding="utf-8"?>
<sst xmlns="http://schemas.openxmlformats.org/spreadsheetml/2006/main" count="1627" uniqueCount="469">
  <si>
    <t>Žemės mokestis</t>
  </si>
  <si>
    <t>Nekilnojamojo turto mokestis</t>
  </si>
  <si>
    <t>Pajamos iš baudų ir konfiskacijos</t>
  </si>
  <si>
    <t>Valstybės rinkliavos</t>
  </si>
  <si>
    <t>Iš viso</t>
  </si>
  <si>
    <t>Gatvių apšvietimas</t>
  </si>
  <si>
    <t>Muziejai</t>
  </si>
  <si>
    <t>PAJAMŲ PAVADINIMAS</t>
  </si>
  <si>
    <t>Savivaldybės administracija</t>
  </si>
  <si>
    <t>Gyventojų pajamų mokestis (gautas iš VMI)</t>
  </si>
  <si>
    <t>Mokesčiai</t>
  </si>
  <si>
    <t>Dotacijos</t>
  </si>
  <si>
    <t>Materialiojo ir nematerialiojo turto realizavimo pajamos</t>
  </si>
  <si>
    <t>Bendri asignavimai</t>
  </si>
  <si>
    <t>Savivaldybės gydytojo išlaikymas</t>
  </si>
  <si>
    <t>Kitos sveikatos priežiūros funkcijos</t>
  </si>
  <si>
    <t>Komunalinio ūkio plėtra</t>
  </si>
  <si>
    <t>Daugiatiksliai plėtros projektai</t>
  </si>
  <si>
    <t>Viešoji biblioteka</t>
  </si>
  <si>
    <t>Lazdijų krašto muziejus</t>
  </si>
  <si>
    <t>Transporto lengvatos soc. išskirtiniems asmenims</t>
  </si>
  <si>
    <t>Kitos pajamos</t>
  </si>
  <si>
    <t>Direktoriaus rezervas</t>
  </si>
  <si>
    <t>Keleivių vežimo gerinimas</t>
  </si>
  <si>
    <t>Kitos bendros paslaugos</t>
  </si>
  <si>
    <t>Daugiabučių namų modernizavimo programa</t>
  </si>
  <si>
    <t>Lazdijų meno mokykla</t>
  </si>
  <si>
    <t>Vaikų ir paauglių nusikalstamumo prevencijos programa</t>
  </si>
  <si>
    <t>Dantų protezavimas</t>
  </si>
  <si>
    <t>Nuomos mokestis už valstybinę žemę ir valstybinio vidaus vandenų fondo vandens telkinius</t>
  </si>
  <si>
    <t>Pajamos už patalpų nuomą</t>
  </si>
  <si>
    <t>Pajamos už atsitiktines paslaugas</t>
  </si>
  <si>
    <t xml:space="preserve">     Valstybinėms (perduotoms savivaldybėms) funkcijoms atlikti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</si>
  <si>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</si>
  <si>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</si>
  <si>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</si>
  <si>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</si>
  <si>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</si>
  <si>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</si>
  <si>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</si>
  <si>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</si>
  <si>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</si>
  <si>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</si>
  <si>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</si>
  <si>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</si>
  <si>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</si>
  <si>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</si>
  <si>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</si>
  <si>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</si>
  <si>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</si>
  <si>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</si>
  <si>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</si>
  <si>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</si>
  <si>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</si>
  <si>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</si>
  <si>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</si>
  <si>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Eil. Nr.</t>
  </si>
  <si>
    <t>1.1.</t>
  </si>
  <si>
    <t>1.2.</t>
  </si>
  <si>
    <t>2.1.</t>
  </si>
  <si>
    <t>1.3.</t>
  </si>
  <si>
    <t>2.2.</t>
  </si>
  <si>
    <t>3.2.</t>
  </si>
  <si>
    <t>3.3.</t>
  </si>
  <si>
    <t>3.1.</t>
  </si>
  <si>
    <t>24.</t>
  </si>
  <si>
    <t>Parama žemės ūkiui</t>
  </si>
  <si>
    <t xml:space="preserve">VšĮ  „Lazdijų  turizmo informacinis centras“ </t>
  </si>
  <si>
    <t xml:space="preserve">VšĮ  „Lazdijų  ligoninė“ </t>
  </si>
  <si>
    <t>VšĮ Lazdijų švietimo centras</t>
  </si>
  <si>
    <t>Vaikų vasaros poilsio stovyklų programa</t>
  </si>
  <si>
    <t>Paveldimo turto mokestis</t>
  </si>
  <si>
    <t>Mokestis už aplinkos teršimą</t>
  </si>
  <si>
    <t xml:space="preserve">     Mokinio krepšeliui finansuoti</t>
  </si>
  <si>
    <t>Mokesčiai už valstybinius gamtos išteklius</t>
  </si>
  <si>
    <t>Įmokos už išlaikymą švietimo, socialinės apsaugos ir kitose įstaigose</t>
  </si>
  <si>
    <t>Lazdijų rajono savivaldybės tarybos</t>
  </si>
  <si>
    <t xml:space="preserve">IŠ VISO </t>
  </si>
  <si>
    <t>25.</t>
  </si>
  <si>
    <t xml:space="preserve">Savivaldybės administracija </t>
  </si>
  <si>
    <t>Gyventojų pajamų mokestis savivaldybės išlaidų struktūros skirtumams išlyginti</t>
  </si>
  <si>
    <t>Gyventojų pajamų mokestis savivaldybės pajamoms iš gyventojų pajamų mokesčio išlyginti</t>
  </si>
  <si>
    <t>Speciali tikslinė dotacija - iš viso, iš jos:</t>
  </si>
  <si>
    <t>1.4.</t>
  </si>
  <si>
    <t>1.5.</t>
  </si>
  <si>
    <t>1.6.</t>
  </si>
  <si>
    <t>1.7.</t>
  </si>
  <si>
    <t>1.8.</t>
  </si>
  <si>
    <t>1.9.</t>
  </si>
  <si>
    <t>2.1.1.</t>
  </si>
  <si>
    <t>2.1.2.</t>
  </si>
  <si>
    <t>3.4.</t>
  </si>
  <si>
    <t>3.5.</t>
  </si>
  <si>
    <t>3.6.</t>
  </si>
  <si>
    <t>3.7.</t>
  </si>
  <si>
    <t>PAJAMOS</t>
  </si>
  <si>
    <t>IŠLAIDOS</t>
  </si>
  <si>
    <t>I.  Žalos aplinkai kompensavimo priemonėms</t>
  </si>
  <si>
    <t>II. Gamtosaugos objektų projektavimui, statybai, remontui, eksploatacijai</t>
  </si>
  <si>
    <t>III. Aplinkos teršimo šaltinių pašalinimui</t>
  </si>
  <si>
    <t>IV. Gyventojų sveikatos apsaugai</t>
  </si>
  <si>
    <t>V. Medžioklės įstatyme numatytoms priemonėms</t>
  </si>
  <si>
    <t>VI. Kitoms aplinkos apsaugos priemonėms</t>
  </si>
  <si>
    <t xml:space="preserve">1 priedas  </t>
  </si>
  <si>
    <t>Išlaidoms</t>
  </si>
  <si>
    <t>Iš jų: darbo užmokes- čiui</t>
  </si>
  <si>
    <t>Vietinės rinkliavos, iš jų:</t>
  </si>
  <si>
    <t>1.9.1.</t>
  </si>
  <si>
    <t xml:space="preserve">     už komunalinių atliekų surinkimą iš atliekų turėtojų ir atliekų tvarkymą</t>
  </si>
  <si>
    <t>Atliekų tvarkymas</t>
  </si>
  <si>
    <t>Studijų rėmimo programa</t>
  </si>
  <si>
    <t xml:space="preserve">Aplinkos apsaugos rėmimo specialioji programa </t>
  </si>
  <si>
    <t>Socialinės globos centras „Židinys“</t>
  </si>
  <si>
    <t>Vaikų laikinosios priežiūros užtikrinimas</t>
  </si>
  <si>
    <t>26.</t>
  </si>
  <si>
    <t>Lazdijų rajono policijos komisariato programa</t>
  </si>
  <si>
    <t>27.</t>
  </si>
  <si>
    <t>Visuomenės sveikatos biuras</t>
  </si>
  <si>
    <t xml:space="preserve">                                             SPECIALIOJI PROGRAMA                                              </t>
  </si>
  <si>
    <t xml:space="preserve">Asignavimų paskirtis                                                                      </t>
  </si>
  <si>
    <t>Bendri asignavi- mai</t>
  </si>
  <si>
    <t>01.</t>
  </si>
  <si>
    <t>Gyventojų registro tvarkymas ir duomenų teikimas</t>
  </si>
  <si>
    <t>Archyvinių dokumentų tvarkymas</t>
  </si>
  <si>
    <t>Civilinės būklės aktų registravimas</t>
  </si>
  <si>
    <t>Gyvenamosios vietos deklaravimas</t>
  </si>
  <si>
    <t>Pirminė teisinė pagalba</t>
  </si>
  <si>
    <t>Darbo rinkos politikos rengimas ir įgyvendinimas</t>
  </si>
  <si>
    <t>Mobilizacijos administravimas</t>
  </si>
  <si>
    <t>Civilinės saugos organizavimas</t>
  </si>
  <si>
    <t>Žemės ūkio funkcijų vykdymas</t>
  </si>
  <si>
    <t>Parama mirties atveju</t>
  </si>
  <si>
    <t>Socialinė parama mokiniams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</si>
  <si>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</si>
  <si>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</si>
  <si>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</si>
  <si>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</si>
  <si>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</si>
  <si>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</si>
  <si>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</si>
  <si>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</si>
  <si>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</si>
  <si>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</si>
  <si>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 xml:space="preserve">                                                                                                     Iš viso </t>
  </si>
  <si>
    <t>iš jų:</t>
  </si>
  <si>
    <t>Prog- ra-mos ko-  das</t>
  </si>
  <si>
    <t>Vals-tybės funk-cijos ko-  das</t>
  </si>
  <si>
    <t>Kaimo plėtros programa</t>
  </si>
  <si>
    <t>Priešgaisrinės tarnybos</t>
  </si>
  <si>
    <t>Reikalai, susiję su būstu</t>
  </si>
  <si>
    <t>VšĮ Lazdijų kultūros centras</t>
  </si>
  <si>
    <t>UAB „Lazdijų vanduo“ vandentvarkos gerinimas</t>
  </si>
  <si>
    <t>03.</t>
  </si>
  <si>
    <t>07.</t>
  </si>
  <si>
    <t>09.</t>
  </si>
  <si>
    <t>02.</t>
  </si>
  <si>
    <t>04.</t>
  </si>
  <si>
    <t>08.</t>
  </si>
  <si>
    <t>06.</t>
  </si>
  <si>
    <t>Socialinių paslaugų plėtra globos įstaigose</t>
  </si>
  <si>
    <t>05.</t>
  </si>
  <si>
    <t>Socialinės išmokos</t>
  </si>
  <si>
    <t>Socialinių paslaugų teikimas</t>
  </si>
  <si>
    <t>Veisiejų technologijos ir verslo mokykla</t>
  </si>
  <si>
    <t>Neformalusis švietimas</t>
  </si>
  <si>
    <t>Globa asmenims su sunkia negalia</t>
  </si>
  <si>
    <t>Bibliotekos</t>
  </si>
  <si>
    <t>Vals-tybės funk-cijos ko- das</t>
  </si>
  <si>
    <t>Prog- ra-mos ko- das</t>
  </si>
  <si>
    <t>Priežiūra socialinės rizikos šeimoms</t>
  </si>
  <si>
    <t>39.</t>
  </si>
  <si>
    <t>40.</t>
  </si>
  <si>
    <t>41.</t>
  </si>
  <si>
    <t>42.</t>
  </si>
  <si>
    <t>43.</t>
  </si>
  <si>
    <t>ASIGNAVIMAI MOKINIO KREPŠELIUI FINANSUOTI</t>
  </si>
  <si>
    <t>Ikimokyklinis ir pradinis ugdymas</t>
  </si>
  <si>
    <t>Ikimokyklinis ugdymas</t>
  </si>
  <si>
    <t>Bendrasis lavinimas</t>
  </si>
  <si>
    <t>Papildomo ugdymo įstaigos</t>
  </si>
  <si>
    <t>Valst. kalbos vartojimo ir taisyklingumo kontrolė</t>
  </si>
  <si>
    <t>Medicinos punktų paslaugų kokybės gerinimas</t>
  </si>
  <si>
    <t>Švietimo, kultūros ir sporto skyriaus išlaikymas</t>
  </si>
  <si>
    <t>Pradinis ugdymas</t>
  </si>
  <si>
    <t>Prog-ramos kodas</t>
  </si>
  <si>
    <t>Valstybės funkcijos kodas</t>
  </si>
  <si>
    <t>Savivaldybės atstovaujamoji institucija</t>
  </si>
  <si>
    <t>Savivaldybės kontrolės ir audito tarnyba</t>
  </si>
  <si>
    <t>Priemonės</t>
  </si>
  <si>
    <t>iš jų: pagal finansavimo šaltinius</t>
  </si>
  <si>
    <t>mokinio krepšeliui</t>
  </si>
  <si>
    <t>Paskolų grąžinimas ir jų aptarnavimas</t>
  </si>
  <si>
    <t>02. Vaikų ir jaunimo užimtumo ir socializacijos programa</t>
  </si>
  <si>
    <t>Iš viso:</t>
  </si>
  <si>
    <t>savival-         dybės           lėšos</t>
  </si>
  <si>
    <t>Gyventojų saugumo užtikrinimo paslaugos</t>
  </si>
  <si>
    <t>03. Viešosios tvarkos ir visuomenės apsaugos užtikrinimo programa</t>
  </si>
  <si>
    <t>04. Turizmo ir verslo programa</t>
  </si>
  <si>
    <t>05. Kaimo plėtros programa</t>
  </si>
  <si>
    <t>PROGRAMOMS VYKDYTI</t>
  </si>
  <si>
    <t>06. Viešųjų darbų programa</t>
  </si>
  <si>
    <t>Viešųjų darbų organizavimas</t>
  </si>
  <si>
    <t>07. Melioracijos darbų vykdymo programa</t>
  </si>
  <si>
    <t xml:space="preserve">Melioracija </t>
  </si>
  <si>
    <t>08. Vietinio ūkio ir infrastruktūros priežiūros ir plėtros programa</t>
  </si>
  <si>
    <t xml:space="preserve">09. Aplinkos apsaugos ir teritorijų planavimo programa </t>
  </si>
  <si>
    <t>10. Investicijų programa</t>
  </si>
  <si>
    <t>11. Būsto programa</t>
  </si>
  <si>
    <t>12. Visuomenės ir asmens sveikatos priežiūros programa</t>
  </si>
  <si>
    <t>Med. punktų slaugos paslaugų kokybės gerinimas</t>
  </si>
  <si>
    <t>13. Kultūros ir sporto plėtojimo programa</t>
  </si>
  <si>
    <t>14. Nevyriausybinių organizacijų rėmimo programa</t>
  </si>
  <si>
    <t>15. Švietimo programa</t>
  </si>
  <si>
    <t xml:space="preserve">Papildomos švietimo paslaugos </t>
  </si>
  <si>
    <t>16. Socialinės apsaugos plėtojimo, skurdo bei socialinės atskirties mažinimo programa</t>
  </si>
  <si>
    <t>Socialinės paslaugos globos įstaigose</t>
  </si>
  <si>
    <t>Duomenų teikimas valst. suteiktos pagalbos registrui</t>
  </si>
  <si>
    <t>Iš viso asignavimų programoms:</t>
  </si>
  <si>
    <t>Kontrolės ir priežiūros institucijos</t>
  </si>
  <si>
    <t xml:space="preserve">Savivaldybės vykdomoji institucija </t>
  </si>
  <si>
    <t xml:space="preserve">Asignavimų valdytojai                               (įstaigų vadovai)                                       </t>
  </si>
  <si>
    <t xml:space="preserve">Asignavimų valdytojai                                                             (įstaigų vadovai)                                       </t>
  </si>
  <si>
    <t xml:space="preserve">Asignavimų valdytojai                   (įstaigų vadovai)                       </t>
  </si>
  <si>
    <t>Būdviečio seniūnija</t>
  </si>
  <si>
    <t>Kapčiamiesčio seniūnija</t>
  </si>
  <si>
    <t>Krosnos seniūnija</t>
  </si>
  <si>
    <t>Kučiūnų seniūnija</t>
  </si>
  <si>
    <t>Lazdijų seniūnija</t>
  </si>
  <si>
    <t>Noragėlių seniūnija</t>
  </si>
  <si>
    <t>Seirijų seniūnija</t>
  </si>
  <si>
    <t>Šlavantų seniūnija</t>
  </si>
  <si>
    <t>Šeštokų seniūnija</t>
  </si>
  <si>
    <t>Šventežerio seniūnija</t>
  </si>
  <si>
    <t>Teizų seniūnija</t>
  </si>
  <si>
    <t>Veisiejų seniūnija</t>
  </si>
  <si>
    <t>01. Savivaldybės valdymo tobulinimo programa</t>
  </si>
  <si>
    <t>PAGAL ASIGNAVIMŲ VALDYTOJUS</t>
  </si>
  <si>
    <t>Lazdijų miesto seniūnija</t>
  </si>
  <si>
    <t xml:space="preserve">Asignavimų valdytojai                                        (įstaigų vadovai)                                    </t>
  </si>
  <si>
    <t>28.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</si>
  <si>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</si>
  <si>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</si>
  <si>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</si>
  <si>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</si>
  <si>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</si>
  <si>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</si>
  <si>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</si>
  <si>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</si>
  <si>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</si>
  <si>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</si>
  <si>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</si>
  <si>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</si>
  <si>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</si>
  <si>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</si>
  <si>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</si>
  <si>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</si>
  <si>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</si>
  <si>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</si>
  <si>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</si>
  <si>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</si>
  <si>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</si>
  <si>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</si>
  <si>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</si>
  <si>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</si>
  <si>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</si>
  <si>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</si>
  <si>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</si>
  <si>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</si>
  <si>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</si>
  <si>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</si>
  <si>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</si>
  <si>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</si>
  <si>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</si>
  <si>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</si>
  <si>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</si>
  <si>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</si>
  <si>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</si>
  <si>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</si>
  <si>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</si>
  <si>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</si>
  <si>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</si>
  <si>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</si>
  <si>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</si>
  <si>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</si>
  <si>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</si>
  <si>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</si>
  <si>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</si>
  <si>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</si>
  <si>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</si>
  <si>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</si>
  <si>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</si>
  <si>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</si>
  <si>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</si>
  <si>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</si>
  <si>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</si>
  <si>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</si>
  <si>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 xml:space="preserve">                     SAVIVALDYBĖS SAVARANKIŠKOSIOMS IR KITOMS FUNKCIJOMS VYKDYTI</t>
  </si>
  <si>
    <t>1. Savivaldybės visuomenės sveikatos rėmimo specialiosios programos vykdymui</t>
  </si>
  <si>
    <t>Melioracija</t>
  </si>
  <si>
    <t>Atliekų tvarkymas ir gatvių apšvietimas</t>
  </si>
  <si>
    <t>Socialinės išmokos ir kompensacijos</t>
  </si>
  <si>
    <t>Maisto iš intervencinių atsargų programa</t>
  </si>
  <si>
    <t>Savivaldybės administracijos Finansų skyrius</t>
  </si>
  <si>
    <t>Bendrosios dotacijos kompensacija</t>
  </si>
  <si>
    <t>Jaunimo poilsio organizavimo programa</t>
  </si>
  <si>
    <t>Priešgaisrinių tarnybų organizavimas</t>
  </si>
  <si>
    <t>Veisiejų gimnazija</t>
  </si>
  <si>
    <t>Būsto nuomos mokesčio dalies kompensavimas</t>
  </si>
  <si>
    <t>Mokesčiai už aplinkos teršimą</t>
  </si>
  <si>
    <t>Mokesčiai už medžiojamų gyvūnų išteklių naudojimą</t>
  </si>
  <si>
    <t>Mokesčiai už kitus valstybinius gamtos išteklius</t>
  </si>
  <si>
    <t>Europos Sąjungos finansinės paramos lėšos</t>
  </si>
  <si>
    <t xml:space="preserve">                                                        4 priedas</t>
  </si>
  <si>
    <t>Sandoriams dėl turto bei finansiniams įsipareigo-    jimams vykdyti</t>
  </si>
  <si>
    <t>70.</t>
  </si>
  <si>
    <t xml:space="preserve"> 6 priedas</t>
  </si>
  <si>
    <t>Iš viso pajamų su likučiu:</t>
  </si>
  <si>
    <t>biudžetinių įstaigų pajamos</t>
  </si>
  <si>
    <t>8 priedas</t>
  </si>
  <si>
    <t>Iš viso išlaidų:</t>
  </si>
  <si>
    <t>Religinių bendruomenių rėmimas</t>
  </si>
  <si>
    <t>Nevyriausybinių organizacijų rėmimo programa</t>
  </si>
  <si>
    <t>Nevyriausybinių organizacijų socialinės veiklos rėmimo programa</t>
  </si>
  <si>
    <t>Verslo rėmimo programa</t>
  </si>
  <si>
    <t xml:space="preserve">Veisiejų gimnazija </t>
  </si>
  <si>
    <t>telkinius</t>
  </si>
  <si>
    <t>redakcija)</t>
  </si>
  <si>
    <t>Savivaldybės administracijos Finansų sk.</t>
  </si>
  <si>
    <t>Kitoms savivaldybėms pervestos lėšos</t>
  </si>
  <si>
    <t>Bendri asignavi         mai</t>
  </si>
  <si>
    <t>Lazdijų savivaldybės viešoji biblioteka</t>
  </si>
  <si>
    <t>(2011 m. lapkričio      d. sprendimo Nr. 5TS-</t>
  </si>
  <si>
    <t>18.1.</t>
  </si>
  <si>
    <t>2.1.3.</t>
  </si>
  <si>
    <t>Skolintos lėšos</t>
  </si>
  <si>
    <t>2.3.</t>
  </si>
  <si>
    <t>IŠ VISO</t>
  </si>
  <si>
    <t>IŠ VISO SAVIVALDYBĖS BIUDŽETO PAJAMŲ</t>
  </si>
  <si>
    <t>iš jų: mero fondas</t>
  </si>
  <si>
    <t>Vaikų teisių apsauga</t>
  </si>
  <si>
    <t>Jaunimo teisių apsauga</t>
  </si>
  <si>
    <t>Gabių vaikų rėmimo programa</t>
  </si>
  <si>
    <t>17.1.</t>
  </si>
  <si>
    <t>35.1.</t>
  </si>
  <si>
    <t>Valst. žemės ir kt. valstybinio turto valdymas, naudojimas ir disponavimas patikėjimo teise</t>
  </si>
  <si>
    <t>1. Maudyklų vandens kokybės stebėsenos programos vykdymui</t>
  </si>
  <si>
    <t>Lazdijų mokykla-darželis „Kregždutė“</t>
  </si>
  <si>
    <t>Lazdijų mokykla-darželis „Vyturėlis“</t>
  </si>
  <si>
    <t>Seirijų lopšelis-darželis „Žibutė“</t>
  </si>
  <si>
    <t>Veisiejų lopšelis-darželis „Ąžuoliukas“</t>
  </si>
  <si>
    <t>Aštriosios Kirsnos mokykla</t>
  </si>
  <si>
    <t>Būdviečio mokykla</t>
  </si>
  <si>
    <t>Kapčiamiesčio Emilijos Pliaterytės mokykla</t>
  </si>
  <si>
    <t>Krosnos mokykla</t>
  </si>
  <si>
    <t>Kučiūnų mokykla</t>
  </si>
  <si>
    <t>Stebulių mokykla</t>
  </si>
  <si>
    <t>Šeštokų mokykla</t>
  </si>
  <si>
    <t>Šventežerio mokykla</t>
  </si>
  <si>
    <t>Lazdijų Motiejaus Gustaičio gimnazija</t>
  </si>
  <si>
    <t>Seirijų Antano Žmuidzinavičiaus gimnazija</t>
  </si>
  <si>
    <t xml:space="preserve">                                                                                                                              Iš viso </t>
  </si>
  <si>
    <t xml:space="preserve">7. </t>
  </si>
  <si>
    <t xml:space="preserve">ASIGNAVIMAI VALSTYBINĖMS (VALSTYBĖS PERDUOTOMS SAVIVALDYBĖMS) FUNKCIJOMS VYKDYTI, </t>
  </si>
  <si>
    <t>Specialiųjų ugdymosi poreikių mokiniams</t>
  </si>
  <si>
    <t xml:space="preserve">(2013 m.             d. sprendimo Nr. </t>
  </si>
  <si>
    <t>Lazdijų rajono savivaldybės taryba</t>
  </si>
  <si>
    <t>7 priedas</t>
  </si>
  <si>
    <t>bendrosios dotacijos kompensa-cija</t>
  </si>
  <si>
    <t>iš jų: Alytaus regiono atliekų tvarkymo centras</t>
  </si>
  <si>
    <t>Turto įsigijimui</t>
  </si>
  <si>
    <t>Finansinių įsipareigojimų vykdymas</t>
  </si>
  <si>
    <t xml:space="preserve">2 priedas  </t>
  </si>
  <si>
    <t>VšĮ Lazdijų ligoninės infrastruktūros modernizavimas</t>
  </si>
  <si>
    <t>Bendruomenių iniciatyvų rėmimas</t>
  </si>
  <si>
    <t>3 priedas</t>
  </si>
  <si>
    <t>VšĮ Lazdijų švietimo centrui</t>
  </si>
  <si>
    <t xml:space="preserve">                                               5 priedas</t>
  </si>
  <si>
    <t>Iš viso mokesčių, dotacijų ir kitų pajamų</t>
  </si>
  <si>
    <t>Metų pradžios lėšų likučiai</t>
  </si>
  <si>
    <t xml:space="preserve">9. </t>
  </si>
  <si>
    <t xml:space="preserve">     Investiciniams projektams finansuoti</t>
  </si>
  <si>
    <t xml:space="preserve">1. Savivaldybės želdynų ir želdinių apsaugai ir tvarkymui </t>
  </si>
  <si>
    <t>2. Medžių (krūmų) sodinukų įsigijimui ir veisimui rajono savivaldybės teritorijoje</t>
  </si>
  <si>
    <t>1. Metelių RP gamtos mokyklos-lankytojų centro veiklai, gamtinių takų atnaujinimui, visuomenei skirtų teritorijų priežiūrai, invazinių augalų rūšių kontrolei ir naikinimui</t>
  </si>
  <si>
    <t>2. Veisiejų RP kultūros paveldo ir rekreacinių teritorijų priežiūrai, Veisiejų dvaro parko tyrimų atlikimui</t>
  </si>
  <si>
    <t>1. Vilkų ūkiniams gyvūnams padarytos žalos atlyginimas</t>
  </si>
  <si>
    <t>3. Žemės sklypų, kuriuose  medžioklė   nėra uždrausta, savininkų, valdytojų ir naudotojų įgyvendinamų priemonių finansavimui</t>
  </si>
  <si>
    <t>2. Bebraviečių ardymo valstybei nuosavybės teise priklausančiuose magistraliniuose melioracijos grioviuose darbų finansavimui</t>
  </si>
  <si>
    <t>2. Aplinkosauginių renginių organizavimui</t>
  </si>
  <si>
    <t>3. Visuomenės aplinkosauginio informavimo ir švietimo priemonių vykdymui</t>
  </si>
  <si>
    <t>Socialinės paramos skyriaus išlaikymas</t>
  </si>
  <si>
    <t>Iš viso  pajamos su likučiais</t>
  </si>
  <si>
    <t xml:space="preserve">Asignavimų valdytojas, lėšų šaltinis, paskirtis                                                                      </t>
  </si>
  <si>
    <t>Turtui įsigyti</t>
  </si>
  <si>
    <t>IŠ VISO:</t>
  </si>
  <si>
    <t>Slaugos lovų išlaikymas</t>
  </si>
  <si>
    <t xml:space="preserve">Slaugos lovų išlaikymas </t>
  </si>
  <si>
    <t>Socialinės pagalbos teikimas namuose</t>
  </si>
  <si>
    <t>Kultūros centro pastato rekonstrukcija (VIP)</t>
  </si>
  <si>
    <t>Bendrasis ugdymas</t>
  </si>
  <si>
    <t xml:space="preserve">                                  Lazdijų rajono savivaldybės tarybos</t>
  </si>
  <si>
    <t xml:space="preserve">2015 METŲ LAZDIJŲ RAJONO SAVIVALDYBĖS BIUDŽETO PAJAMOS </t>
  </si>
  <si>
    <t>(eurais)</t>
  </si>
  <si>
    <t>Šių išmokų administravimas</t>
  </si>
  <si>
    <t xml:space="preserve">Būsto nuomos mokesčio dalies kompensavimas </t>
  </si>
  <si>
    <t>34.1.</t>
  </si>
  <si>
    <t>Mokinių visuomenės sveikatos priežiūra</t>
  </si>
  <si>
    <t>Visuomenės sveikatos stiprinimas ir stebėsena</t>
  </si>
  <si>
    <t xml:space="preserve">     2015 METŲ LAZDIJŲ RAJONO SAVIVALDYBĖS BIUDŽETO SPECIALIOSIOS TIKSLINĖS DOTACIJOS</t>
  </si>
  <si>
    <t>Lėšų likutis         2014 m. gruodžio 31 d.</t>
  </si>
  <si>
    <t>2015 METŲ LAZDIJŲ RAJONO SAVIVALDYBĖS BIUDŽETINIŲ ĮSTAIGŲ PAJAMOS</t>
  </si>
  <si>
    <t xml:space="preserve">2015 METŲ LAZDIJŲ RAJONO SAVIVALDYBĖS APLINKOS APSAUGOS RĖMIMO </t>
  </si>
  <si>
    <t>2015 METŲ LAZDIJŲ RAJONO SAVIVALDYBĖS BIUDŽETO ASIGNAVIMAI</t>
  </si>
  <si>
    <t xml:space="preserve">                        2015 METŲ LAZDIJŲ RAJONO SAVIVALDYBĖS BIUDŽETO ASIGNAVIMAI</t>
  </si>
  <si>
    <t xml:space="preserve"> 2015 METŲ LAZDIJŲ RAJONO SAVIVALDYBĖS BIUDŽETO ASIGNAVIMAI</t>
  </si>
  <si>
    <t xml:space="preserve">                                                                                                                     (eurais)</t>
  </si>
  <si>
    <r>
      <rPr>
        <u/>
        <sz val="12"/>
        <rFont val="Times New Roman"/>
        <family val="1"/>
        <charset val="186"/>
      </rPr>
      <t>53250</t>
    </r>
    <r>
      <rPr>
        <sz val="12"/>
        <rFont val="Times New Roman"/>
        <family val="1"/>
        <charset val="186"/>
      </rPr>
      <t xml:space="preserve">       43470      1433          8347</t>
    </r>
  </si>
  <si>
    <t>Neformalusis ugdymas</t>
  </si>
  <si>
    <t xml:space="preserve">Programos lėšų likutis 2014 m. gruodžio 31 d.,                                                                              iš jų: už medžiojamųjų gyvūnų išteklių naudojimą;                                                    visuomenės sveikatos rėmimo specialiosios programos lėšos;                                        kitų aplinkosauginių priemonių .     </t>
  </si>
  <si>
    <t>Atliekų tvarkymas  (ARATC)</t>
  </si>
  <si>
    <t xml:space="preserve">1.1. </t>
  </si>
  <si>
    <t>Šventežerio  mokykla</t>
  </si>
  <si>
    <t>4.1.</t>
  </si>
  <si>
    <t>5.1.</t>
  </si>
  <si>
    <t>6.1.</t>
  </si>
  <si>
    <t>VšĮ Lazdijų sporto centras</t>
  </si>
  <si>
    <t>3. Kitos išlaidos</t>
  </si>
  <si>
    <t>2. Priemonių, reikalingų avarijoms susijusioms su cheminių ir naftos produktų, bei kitų teršalų išsiliejimu ant vandens paviršiaus ir žemės likviduoti, sąrašas</t>
  </si>
  <si>
    <t>3. Bešeimininkių padangų atliekų transportavimo išlaidoms padengti</t>
  </si>
  <si>
    <t>1.VĮ „Gamtosaugos projektų vystymo fondas“ jūrinių erelių apsaugos projekto finansavimui</t>
  </si>
  <si>
    <t>1. Lazdijų r. Veisiejų lopšelio darželio „Ąžuoliukas“dalyvavimui Gamtosauginių mokyklų programoje 2015 m.  finansavimui</t>
  </si>
  <si>
    <t>Šildymo išlaidų ir išlaidų vandeniui kompensavimas</t>
  </si>
  <si>
    <t>101.</t>
  </si>
  <si>
    <t>Priešgaisrinių tarnybų organizavimas (Lazdijų tarnyba)</t>
  </si>
  <si>
    <t>iš jų: turtui įsigyti</t>
  </si>
  <si>
    <t>16.1.</t>
  </si>
  <si>
    <t xml:space="preserve">                                                                                                                                                      (eurais)</t>
  </si>
  <si>
    <t>Pastato modernizavimas</t>
  </si>
  <si>
    <t xml:space="preserve"> ĮSISKOLINIMAMS DENGTI</t>
  </si>
  <si>
    <t xml:space="preserve"> 2014 METAIS NEPANAUDOTŲ SAVIVALDYBĖS BIUDŽETO LĖŠŲ PASKIRSTYMAS   </t>
  </si>
  <si>
    <t>Etnokultūros plėtojimas</t>
  </si>
  <si>
    <t>Meno kolektyvų populiarinimas</t>
  </si>
  <si>
    <t xml:space="preserve">VšĮ Kultūros centro pastato rekonstrukcija </t>
  </si>
  <si>
    <t>2015 m. vasario 23  d. sprendimo Nr. 5TS-1431</t>
  </si>
  <si>
    <t xml:space="preserve">                             Lazdijų rajono savivaldybės tarybos</t>
  </si>
  <si>
    <t xml:space="preserve">                             2015 m. vasario 23 d. sprendimo Nr. 5TS-1431</t>
  </si>
  <si>
    <t xml:space="preserve">   9 priedas</t>
  </si>
  <si>
    <t>2015 m. vasario 23 d. sprendimo Nr. 5TS-1431</t>
  </si>
  <si>
    <t xml:space="preserve">                                               2015 m. vasario 23 d. sprendimo Nr. 5TS-1431</t>
  </si>
  <si>
    <t xml:space="preserve">                                                        2015 m. vasario 23 d. sprendimo Nr. 5TS-1431 </t>
  </si>
  <si>
    <t xml:space="preserve">                                           Lazdijų rajono savivaldybės tarybos</t>
  </si>
  <si>
    <t>(2015 m. gegužės         d. sprendimo Nr.  5TS-</t>
  </si>
  <si>
    <t xml:space="preserve">                                              (2015 m. gegužės         d. sprendimo Nr.  5TS-</t>
  </si>
  <si>
    <t xml:space="preserve">                                                         redakcija)</t>
  </si>
  <si>
    <t>22.1.</t>
  </si>
  <si>
    <t>102.</t>
  </si>
  <si>
    <t>2.4.</t>
  </si>
  <si>
    <t>Kitos dotacijos ir lėšos iš kitų valdymo lygių</t>
  </si>
  <si>
    <t xml:space="preserve">SPECIALIŲJŲ UGDYMOSI POREIKIŲ MOKINIAMS, VALSTYBĖS INVESTICIJŲ PROGRAMOS PROJEKTAMS FINANSUOTI </t>
  </si>
  <si>
    <t>IR KITOS DOTACIJOS IR LĖŠOS IŠ KITŲ VALDYMO LYGIŲ</t>
  </si>
  <si>
    <t>Išlaidų dėl euro įvedimo kompensavimas</t>
  </si>
  <si>
    <t>Kelių priežiūros ir plėtros programos lėšos</t>
  </si>
  <si>
    <t xml:space="preserve">valstybi-      nėms funkcijoms ir kitos dotacijos          </t>
  </si>
  <si>
    <t>Kelių priežiūra ir plėtra</t>
  </si>
  <si>
    <t>Pedagoginių darbuotojų skaičiaus optimizavimas</t>
  </si>
  <si>
    <t>(2015 m. birželio        d. sprendimo Nr.  5TS-</t>
  </si>
  <si>
    <t>(2015 m. birželio         d. sprendimo Nr.  5TS-</t>
  </si>
  <si>
    <t>4. Projekto ,,Baltajo ežero dalies išvalymas ir tvarkymas" monitoringo programos finansavimui</t>
  </si>
  <si>
    <t>5. Lazdijų valstybinės maisto ir veterinarijos tarnybos pasiutligės profilaktikos ir likvidavimo programai vykdyti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</si>
</sst>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86"/>
    </font>
    <font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Times New Roman"/>
      <family val="1"/>
    </font>
    <font>
      <sz val="12"/>
      <name val="Arial"/>
      <family val="2"/>
      <charset val="186"/>
    </font>
    <font>
      <sz val="12"/>
      <name val="Times New Roman"/>
      <family val="1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u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31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/>
    <xf numFmtId="0" fontId="3" fillId="0" borderId="2" xfId="0" applyFont="1" applyFill="1" applyBorder="1"/>
    <xf numFmtId="0" fontId="4" fillId="0" borderId="2" xfId="0" applyFont="1" applyBorder="1"/>
    <xf numFmtId="0" fontId="3" fillId="0" borderId="3" xfId="0" applyFont="1" applyBorder="1"/>
    <xf numFmtId="0" fontId="3" fillId="0" borderId="2" xfId="0" applyFont="1" applyBorder="1" applyAlignment="1">
      <alignment horizontal="left"/>
    </xf>
    <xf numFmtId="0" fontId="3" fillId="0" borderId="4" xfId="0" applyFont="1" applyFill="1" applyBorder="1"/>
    <xf numFmtId="0" fontId="3" fillId="0" borderId="5" xfId="0" applyFont="1" applyBorder="1"/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3" fillId="0" borderId="0" xfId="0" applyFont="1" applyBorder="1"/>
    <xf numFmtId="0" fontId="3" fillId="0" borderId="7" xfId="0" applyFont="1" applyBorder="1"/>
    <xf numFmtId="0" fontId="3" fillId="0" borderId="1" xfId="0" applyFont="1" applyFill="1" applyBorder="1"/>
    <xf numFmtId="0" fontId="3" fillId="0" borderId="0" xfId="0" applyFont="1"/>
    <xf numFmtId="0" fontId="3" fillId="0" borderId="8" xfId="0" applyFont="1" applyBorder="1"/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/>
    <xf numFmtId="0" fontId="4" fillId="0" borderId="0" xfId="0" applyFont="1" applyAlignment="1"/>
    <xf numFmtId="49" fontId="3" fillId="0" borderId="4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0" borderId="11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top"/>
    </xf>
    <xf numFmtId="0" fontId="3" fillId="0" borderId="0" xfId="0" applyFont="1" applyAlignment="1">
      <alignment horizontal="right" vertical="center"/>
    </xf>
    <xf numFmtId="0" fontId="10" fillId="0" borderId="0" xfId="0" applyFont="1"/>
    <xf numFmtId="0" fontId="3" fillId="0" borderId="2" xfId="0" applyFont="1" applyFill="1" applyBorder="1" applyAlignment="1">
      <alignment horizontal="center"/>
    </xf>
    <xf numFmtId="0" fontId="3" fillId="2" borderId="0" xfId="0" applyFont="1" applyFill="1"/>
    <xf numFmtId="0" fontId="3" fillId="3" borderId="2" xfId="0" applyFont="1" applyFill="1" applyBorder="1"/>
    <xf numFmtId="0" fontId="1" fillId="0" borderId="0" xfId="0" applyFont="1" applyAlignment="1">
      <alignment horizontal="center"/>
    </xf>
    <xf numFmtId="0" fontId="3" fillId="3" borderId="2" xfId="0" applyFont="1" applyFill="1" applyBorder="1" applyAlignment="1">
      <alignment horizontal="right"/>
    </xf>
    <xf numFmtId="0" fontId="3" fillId="0" borderId="9" xfId="0" applyFont="1" applyFill="1" applyBorder="1"/>
    <xf numFmtId="0" fontId="3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1" fillId="0" borderId="0" xfId="0" applyFont="1" applyFill="1"/>
    <xf numFmtId="0" fontId="4" fillId="0" borderId="0" xfId="0" applyFont="1" applyFill="1" applyAlignment="1"/>
    <xf numFmtId="0" fontId="3" fillId="0" borderId="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3" xfId="0" applyFont="1" applyFill="1" applyBorder="1"/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3" fillId="0" borderId="5" xfId="0" applyFont="1" applyFill="1" applyBorder="1"/>
    <xf numFmtId="0" fontId="3" fillId="0" borderId="1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14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1" fillId="0" borderId="8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center" wrapText="1"/>
    </xf>
    <xf numFmtId="0" fontId="6" fillId="0" borderId="2" xfId="0" applyFont="1" applyFill="1" applyBorder="1"/>
    <xf numFmtId="17" fontId="1" fillId="0" borderId="2" xfId="0" applyNumberFormat="1" applyFont="1" applyFill="1" applyBorder="1" applyAlignment="1">
      <alignment horizontal="center"/>
    </xf>
    <xf numFmtId="0" fontId="1" fillId="0" borderId="9" xfId="0" applyFont="1" applyFill="1" applyBorder="1"/>
    <xf numFmtId="0" fontId="5" fillId="0" borderId="11" xfId="0" applyFont="1" applyFill="1" applyBorder="1"/>
    <xf numFmtId="0" fontId="5" fillId="0" borderId="2" xfId="0" applyFont="1" applyFill="1" applyBorder="1"/>
    <xf numFmtId="0" fontId="3" fillId="0" borderId="0" xfId="0" applyFont="1" applyFill="1" applyAlignment="1"/>
    <xf numFmtId="0" fontId="4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3" fillId="0" borderId="0" xfId="0" applyNumberFormat="1" applyFont="1" applyFill="1"/>
    <xf numFmtId="14" fontId="3" fillId="0" borderId="0" xfId="0" applyNumberFormat="1" applyFont="1" applyFill="1"/>
    <xf numFmtId="0" fontId="11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center"/>
    </xf>
    <xf numFmtId="0" fontId="4" fillId="0" borderId="9" xfId="0" applyFont="1" applyFill="1" applyBorder="1"/>
    <xf numFmtId="0" fontId="4" fillId="0" borderId="1" xfId="0" applyFont="1" applyFill="1" applyBorder="1"/>
    <xf numFmtId="0" fontId="5" fillId="0" borderId="10" xfId="0" applyFont="1" applyFill="1" applyBorder="1"/>
    <xf numFmtId="0" fontId="5" fillId="0" borderId="1" xfId="0" applyFont="1" applyFill="1" applyBorder="1"/>
    <xf numFmtId="0" fontId="1" fillId="0" borderId="18" xfId="0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4" xfId="0" applyFont="1" applyFill="1" applyBorder="1" applyAlignment="1">
      <alignment horizontal="left" vertical="center" wrapText="1"/>
    </xf>
    <xf numFmtId="0" fontId="5" fillId="0" borderId="9" xfId="0" applyFont="1" applyFill="1" applyBorder="1"/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0" xfId="0" applyFill="1"/>
    <xf numFmtId="0" fontId="3" fillId="3" borderId="9" xfId="0" applyFont="1" applyFill="1" applyBorder="1"/>
    <xf numFmtId="0" fontId="3" fillId="3" borderId="11" xfId="0" applyFont="1" applyFill="1" applyBorder="1"/>
    <xf numFmtId="0" fontId="4" fillId="3" borderId="2" xfId="0" applyFont="1" applyFill="1" applyBorder="1"/>
    <xf numFmtId="0" fontId="1" fillId="3" borderId="2" xfId="0" applyFont="1" applyFill="1" applyBorder="1"/>
    <xf numFmtId="0" fontId="3" fillId="3" borderId="4" xfId="0" applyFont="1" applyFill="1" applyBorder="1"/>
    <xf numFmtId="1" fontId="3" fillId="3" borderId="2" xfId="0" applyNumberFormat="1" applyFont="1" applyFill="1" applyBorder="1"/>
    <xf numFmtId="0" fontId="1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5" fillId="3" borderId="9" xfId="0" applyFont="1" applyFill="1" applyBorder="1"/>
    <xf numFmtId="0" fontId="5" fillId="3" borderId="2" xfId="0" applyFont="1" applyFill="1" applyBorder="1"/>
    <xf numFmtId="0" fontId="3" fillId="3" borderId="4" xfId="0" applyFont="1" applyFill="1" applyBorder="1" applyAlignment="1">
      <alignment horizontal="left"/>
    </xf>
    <xf numFmtId="0" fontId="5" fillId="3" borderId="10" xfId="0" applyFont="1" applyFill="1" applyBorder="1"/>
    <xf numFmtId="0" fontId="5" fillId="3" borderId="1" xfId="0" applyFont="1" applyFill="1" applyBorder="1"/>
    <xf numFmtId="0" fontId="4" fillId="3" borderId="9" xfId="0" applyFont="1" applyFill="1" applyBorder="1"/>
    <xf numFmtId="0" fontId="3" fillId="3" borderId="1" xfId="0" applyFont="1" applyFill="1" applyBorder="1"/>
    <xf numFmtId="0" fontId="6" fillId="3" borderId="2" xfId="0" applyFont="1" applyFill="1" applyBorder="1"/>
    <xf numFmtId="0" fontId="4" fillId="3" borderId="2" xfId="0" applyFont="1" applyFill="1" applyBorder="1" applyAlignment="1">
      <alignment horizontal="center" wrapText="1"/>
    </xf>
    <xf numFmtId="0" fontId="4" fillId="3" borderId="18" xfId="0" applyFont="1" applyFill="1" applyBorder="1"/>
    <xf numFmtId="0" fontId="4" fillId="3" borderId="10" xfId="0" applyFont="1" applyFill="1" applyBorder="1"/>
    <xf numFmtId="1" fontId="4" fillId="3" borderId="2" xfId="0" applyNumberFormat="1" applyFont="1" applyFill="1" applyBorder="1"/>
    <xf numFmtId="0" fontId="0" fillId="3" borderId="0" xfId="0" applyFill="1"/>
    <xf numFmtId="0" fontId="6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11" xfId="0" applyFont="1" applyBorder="1"/>
    <xf numFmtId="17" fontId="1" fillId="0" borderId="2" xfId="0" applyNumberFormat="1" applyFont="1" applyBorder="1" applyAlignment="1">
      <alignment horizontal="center"/>
    </xf>
    <xf numFmtId="0" fontId="3" fillId="0" borderId="9" xfId="0" applyFont="1" applyBorder="1"/>
    <xf numFmtId="0" fontId="3" fillId="2" borderId="9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top" wrapText="1" indent="1"/>
    </xf>
    <xf numFmtId="0" fontId="3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12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2" xfId="0" applyBorder="1"/>
    <xf numFmtId="0" fontId="13" fillId="0" borderId="2" xfId="0" applyFont="1" applyBorder="1" applyAlignment="1">
      <alignment horizontal="right"/>
    </xf>
    <xf numFmtId="0" fontId="3" fillId="3" borderId="5" xfId="0" applyFont="1" applyFill="1" applyBorder="1"/>
    <xf numFmtId="1" fontId="3" fillId="3" borderId="2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/>
    </xf>
    <xf numFmtId="0" fontId="3" fillId="3" borderId="18" xfId="0" applyFont="1" applyFill="1" applyBorder="1"/>
    <xf numFmtId="0" fontId="1" fillId="3" borderId="1" xfId="0" applyFont="1" applyFill="1" applyBorder="1"/>
    <xf numFmtId="0" fontId="3" fillId="3" borderId="1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4" fillId="3" borderId="0" xfId="0" applyFont="1" applyFill="1"/>
    <xf numFmtId="0" fontId="3" fillId="3" borderId="1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1" fillId="0" borderId="0" xfId="0" applyNumberFormat="1" applyFont="1"/>
    <xf numFmtId="2" fontId="3" fillId="0" borderId="6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/>
    <xf numFmtId="1" fontId="3" fillId="0" borderId="2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/>
    </xf>
    <xf numFmtId="1" fontId="4" fillId="3" borderId="2" xfId="0" applyNumberFormat="1" applyFont="1" applyFill="1" applyBorder="1" applyAlignment="1">
      <alignment horizontal="center" wrapText="1"/>
    </xf>
    <xf numFmtId="1" fontId="4" fillId="0" borderId="2" xfId="0" applyNumberFormat="1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13" fillId="0" borderId="0" xfId="0" applyFont="1"/>
    <xf numFmtId="2" fontId="0" fillId="0" borderId="0" xfId="0" applyNumberFormat="1"/>
    <xf numFmtId="0" fontId="3" fillId="0" borderId="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" fontId="1" fillId="3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1" fontId="4" fillId="3" borderId="2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right" vertical="top"/>
    </xf>
    <xf numFmtId="0" fontId="3" fillId="3" borderId="2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3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/>
    <xf numFmtId="0" fontId="4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3" borderId="2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4" fillId="0" borderId="8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8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9" xfId="1" applyFont="1" applyBorder="1" applyAlignment="1">
      <alignment horizontal="left" vertical="center" wrapText="1"/>
    </xf>
    <xf numFmtId="0" fontId="3" fillId="0" borderId="13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</cellXfs>
  <cellStyles count="2">
    <cellStyle name="Įprastas" xfId="0" builtinId="0"/>
    <cellStyle name="Įprastas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42"/>
  <sheetViews>
    <sheetView tabSelected="1" workbookViewId="0">
      <selection activeCell="O16" sqref="O16"/>
    </sheetView>
  </sheetViews>
  <sheetFormatPr defaultColWidth="9.140625" defaultRowHeight="15.75" x14ac:dyDescent="0.25"/>
  <cols>
    <col min="1" max="1" width="7.5703125" style="16" customWidth="1"/>
    <col min="2" max="3" width="9.140625" style="16"/>
    <col min="4" max="4" width="10.140625" style="16" bestFit="1" customWidth="1"/>
    <col min="5" max="6" width="9.140625" style="16"/>
    <col min="7" max="7" width="26.42578125" style="16" customWidth="1"/>
    <col min="8" max="8" width="11.5703125" style="34" customWidth="1"/>
    <col min="9" max="9" width="9.140625" style="16" hidden="1" customWidth="1"/>
    <col min="10" max="10" width="10.140625" style="16" bestFit="1" customWidth="1"/>
    <col min="11" max="11" width="10.140625" style="16" customWidth="1"/>
    <col min="12" max="13" width="10.140625" style="16" bestFit="1" customWidth="1"/>
    <col min="14" max="14" width="11.5703125" style="16" bestFit="1" customWidth="1"/>
    <col min="15" max="16384" width="9.140625" style="16"/>
  </cols>
  <sheetData>
    <row r="1" spans="1:9" ht="15.75" customHeight="1" x14ac:dyDescent="0.25">
      <c r="F1" s="208" t="s">
        <v>76</v>
      </c>
      <c r="G1" s="208"/>
      <c r="H1" s="208"/>
    </row>
    <row r="2" spans="1:9" ht="15.75" customHeight="1" x14ac:dyDescent="0.25">
      <c r="F2" s="208" t="s">
        <v>443</v>
      </c>
      <c r="G2" s="208"/>
      <c r="H2" s="208"/>
      <c r="I2" s="208"/>
    </row>
    <row r="3" spans="1:9" ht="18" customHeight="1" x14ac:dyDescent="0.25">
      <c r="F3" s="208" t="s">
        <v>103</v>
      </c>
      <c r="G3" s="208"/>
    </row>
    <row r="4" spans="1:9" ht="16.5" customHeight="1" x14ac:dyDescent="0.25">
      <c r="F4" s="201" t="s">
        <v>465</v>
      </c>
      <c r="G4" s="201"/>
    </row>
    <row r="5" spans="1:9" ht="15.75" customHeight="1" x14ac:dyDescent="0.25">
      <c r="F5" s="1" t="s">
        <v>326</v>
      </c>
      <c r="G5" s="1"/>
      <c r="H5" s="1"/>
    </row>
    <row r="6" spans="1:9" ht="20.25" customHeight="1" x14ac:dyDescent="0.25">
      <c r="B6" s="210" t="s">
        <v>401</v>
      </c>
      <c r="C6" s="210"/>
      <c r="D6" s="210"/>
      <c r="E6" s="210"/>
      <c r="F6" s="210"/>
      <c r="G6" s="210"/>
      <c r="H6" s="210"/>
    </row>
    <row r="7" spans="1:9" ht="16.5" customHeight="1" x14ac:dyDescent="0.25">
      <c r="B7" s="213" t="s">
        <v>415</v>
      </c>
      <c r="C7" s="213"/>
      <c r="D7" s="213"/>
      <c r="E7" s="213"/>
      <c r="F7" s="213"/>
      <c r="G7" s="213"/>
      <c r="H7" s="213"/>
    </row>
    <row r="8" spans="1:9" ht="18" customHeight="1" x14ac:dyDescent="0.25">
      <c r="A8" s="4" t="s">
        <v>56</v>
      </c>
      <c r="B8" s="211" t="s">
        <v>7</v>
      </c>
      <c r="C8" s="211"/>
      <c r="D8" s="211"/>
      <c r="E8" s="211"/>
      <c r="F8" s="211"/>
      <c r="G8" s="211"/>
      <c r="H8" s="31" t="s">
        <v>77</v>
      </c>
    </row>
    <row r="9" spans="1:9" ht="18.75" customHeight="1" x14ac:dyDescent="0.25">
      <c r="A9" s="19" t="s">
        <v>33</v>
      </c>
      <c r="B9" s="216" t="s">
        <v>10</v>
      </c>
      <c r="C9" s="217"/>
      <c r="D9" s="217"/>
      <c r="E9" s="217"/>
      <c r="F9" s="217"/>
      <c r="G9" s="218"/>
      <c r="H9" s="18">
        <f>SUM(H10:H18)</f>
        <v>7914134</v>
      </c>
    </row>
    <row r="10" spans="1:9" ht="18" customHeight="1" x14ac:dyDescent="0.25">
      <c r="A10" s="19" t="s">
        <v>57</v>
      </c>
      <c r="B10" s="212" t="s">
        <v>9</v>
      </c>
      <c r="C10" s="212"/>
      <c r="D10" s="212"/>
      <c r="E10" s="212"/>
      <c r="F10" s="212"/>
      <c r="G10" s="212"/>
      <c r="H10" s="42">
        <v>3246640</v>
      </c>
    </row>
    <row r="11" spans="1:9" ht="22.5" customHeight="1" x14ac:dyDescent="0.25">
      <c r="A11" s="35" t="s">
        <v>58</v>
      </c>
      <c r="B11" s="219" t="s">
        <v>80</v>
      </c>
      <c r="C11" s="219"/>
      <c r="D11" s="219"/>
      <c r="E11" s="219"/>
      <c r="F11" s="219"/>
      <c r="G11" s="219"/>
      <c r="H11" s="198">
        <v>1543949</v>
      </c>
    </row>
    <row r="12" spans="1:9" ht="29.25" customHeight="1" x14ac:dyDescent="0.25">
      <c r="A12" s="35" t="s">
        <v>60</v>
      </c>
      <c r="B12" s="219" t="s">
        <v>81</v>
      </c>
      <c r="C12" s="219"/>
      <c r="D12" s="219"/>
      <c r="E12" s="219"/>
      <c r="F12" s="219"/>
      <c r="G12" s="219"/>
      <c r="H12" s="198">
        <v>2354606</v>
      </c>
    </row>
    <row r="13" spans="1:9" ht="18" customHeight="1" x14ac:dyDescent="0.25">
      <c r="A13" s="19" t="s">
        <v>83</v>
      </c>
      <c r="B13" s="212" t="s">
        <v>0</v>
      </c>
      <c r="C13" s="212"/>
      <c r="D13" s="212"/>
      <c r="E13" s="212"/>
      <c r="F13" s="212"/>
      <c r="G13" s="212"/>
      <c r="H13" s="40">
        <v>126854</v>
      </c>
    </row>
    <row r="14" spans="1:9" ht="18" customHeight="1" x14ac:dyDescent="0.25">
      <c r="A14" s="19" t="s">
        <v>84</v>
      </c>
      <c r="B14" s="212" t="s">
        <v>1</v>
      </c>
      <c r="C14" s="212"/>
      <c r="D14" s="212"/>
      <c r="E14" s="212"/>
      <c r="F14" s="212"/>
      <c r="G14" s="212"/>
      <c r="H14" s="40">
        <v>98181</v>
      </c>
    </row>
    <row r="15" spans="1:9" ht="18" customHeight="1" x14ac:dyDescent="0.25">
      <c r="A15" s="19" t="s">
        <v>85</v>
      </c>
      <c r="B15" s="212" t="s">
        <v>71</v>
      </c>
      <c r="C15" s="212"/>
      <c r="D15" s="212"/>
      <c r="E15" s="212"/>
      <c r="F15" s="212"/>
      <c r="G15" s="212"/>
      <c r="H15" s="40">
        <v>4344</v>
      </c>
    </row>
    <row r="16" spans="1:9" ht="18" customHeight="1" x14ac:dyDescent="0.25">
      <c r="A16" s="19" t="s">
        <v>86</v>
      </c>
      <c r="B16" s="209" t="s">
        <v>72</v>
      </c>
      <c r="C16" s="209"/>
      <c r="D16" s="209"/>
      <c r="E16" s="209"/>
      <c r="F16" s="209"/>
      <c r="G16" s="209"/>
      <c r="H16" s="42">
        <v>13900</v>
      </c>
    </row>
    <row r="17" spans="1:8" ht="18" customHeight="1" x14ac:dyDescent="0.25">
      <c r="A17" s="19" t="s">
        <v>87</v>
      </c>
      <c r="B17" s="209" t="s">
        <v>3</v>
      </c>
      <c r="C17" s="209"/>
      <c r="D17" s="209"/>
      <c r="E17" s="209"/>
      <c r="F17" s="209"/>
      <c r="G17" s="209"/>
      <c r="H17" s="42">
        <v>28962</v>
      </c>
    </row>
    <row r="18" spans="1:8" ht="18.75" customHeight="1" x14ac:dyDescent="0.25">
      <c r="A18" s="19" t="s">
        <v>88</v>
      </c>
      <c r="B18" s="209" t="s">
        <v>106</v>
      </c>
      <c r="C18" s="209"/>
      <c r="D18" s="209"/>
      <c r="E18" s="209"/>
      <c r="F18" s="209"/>
      <c r="G18" s="209"/>
      <c r="H18" s="42">
        <v>496698</v>
      </c>
    </row>
    <row r="19" spans="1:8" ht="18" customHeight="1" x14ac:dyDescent="0.25">
      <c r="A19" s="19" t="s">
        <v>107</v>
      </c>
      <c r="B19" s="209" t="s">
        <v>108</v>
      </c>
      <c r="C19" s="209"/>
      <c r="D19" s="209"/>
      <c r="E19" s="209"/>
      <c r="F19" s="209"/>
      <c r="G19" s="209"/>
      <c r="H19" s="42">
        <v>492354</v>
      </c>
    </row>
    <row r="20" spans="1:8" ht="18" customHeight="1" x14ac:dyDescent="0.25">
      <c r="A20" s="19" t="s">
        <v>34</v>
      </c>
      <c r="B20" s="216" t="s">
        <v>11</v>
      </c>
      <c r="C20" s="217"/>
      <c r="D20" s="217"/>
      <c r="E20" s="217"/>
      <c r="F20" s="217"/>
      <c r="G20" s="218"/>
      <c r="H20" s="196">
        <f>SUM(H22:H27)</f>
        <v>9566596</v>
      </c>
    </row>
    <row r="21" spans="1:8" ht="18" customHeight="1" x14ac:dyDescent="0.25">
      <c r="A21" s="19" t="s">
        <v>59</v>
      </c>
      <c r="B21" s="209" t="s">
        <v>82</v>
      </c>
      <c r="C21" s="209"/>
      <c r="D21" s="209"/>
      <c r="E21" s="209"/>
      <c r="F21" s="209"/>
      <c r="G21" s="209"/>
      <c r="H21" s="42">
        <f>SUM(H22:H24)</f>
        <v>6457836</v>
      </c>
    </row>
    <row r="22" spans="1:8" ht="18" customHeight="1" x14ac:dyDescent="0.25">
      <c r="A22" s="19" t="s">
        <v>89</v>
      </c>
      <c r="B22" s="209" t="s">
        <v>32</v>
      </c>
      <c r="C22" s="209"/>
      <c r="D22" s="209"/>
      <c r="E22" s="209"/>
      <c r="F22" s="209"/>
      <c r="G22" s="209"/>
      <c r="H22" s="42">
        <v>1986668</v>
      </c>
    </row>
    <row r="23" spans="1:8" ht="18" customHeight="1" x14ac:dyDescent="0.25">
      <c r="A23" s="19" t="s">
        <v>90</v>
      </c>
      <c r="B23" s="209" t="s">
        <v>73</v>
      </c>
      <c r="C23" s="209"/>
      <c r="D23" s="209"/>
      <c r="E23" s="209"/>
      <c r="F23" s="209"/>
      <c r="G23" s="209"/>
      <c r="H23" s="42">
        <v>3993295</v>
      </c>
    </row>
    <row r="24" spans="1:8" ht="18" customHeight="1" x14ac:dyDescent="0.25">
      <c r="A24" s="19" t="s">
        <v>333</v>
      </c>
      <c r="B24" s="220" t="s">
        <v>380</v>
      </c>
      <c r="C24" s="221"/>
      <c r="D24" s="221"/>
      <c r="E24" s="221"/>
      <c r="F24" s="221"/>
      <c r="G24" s="222"/>
      <c r="H24" s="42">
        <v>477873</v>
      </c>
    </row>
    <row r="25" spans="1:8" ht="18" customHeight="1" x14ac:dyDescent="0.25">
      <c r="A25" s="19" t="s">
        <v>61</v>
      </c>
      <c r="B25" s="220" t="s">
        <v>303</v>
      </c>
      <c r="C25" s="221"/>
      <c r="D25" s="221"/>
      <c r="E25" s="221"/>
      <c r="F25" s="221"/>
      <c r="G25" s="222"/>
      <c r="H25" s="42">
        <v>1541109</v>
      </c>
    </row>
    <row r="26" spans="1:8" ht="18" customHeight="1" x14ac:dyDescent="0.25">
      <c r="A26" s="19" t="s">
        <v>335</v>
      </c>
      <c r="B26" s="220" t="s">
        <v>457</v>
      </c>
      <c r="C26" s="221"/>
      <c r="D26" s="221"/>
      <c r="E26" s="221"/>
      <c r="F26" s="221"/>
      <c r="G26" s="222"/>
      <c r="H26" s="42">
        <f>1144874+30822+7009+2052</f>
        <v>1184757</v>
      </c>
    </row>
    <row r="27" spans="1:8" ht="18" customHeight="1" x14ac:dyDescent="0.25">
      <c r="A27" s="19" t="s">
        <v>456</v>
      </c>
      <c r="B27" s="220" t="s">
        <v>311</v>
      </c>
      <c r="C27" s="221"/>
      <c r="D27" s="221"/>
      <c r="E27" s="221"/>
      <c r="F27" s="221"/>
      <c r="G27" s="222"/>
      <c r="H27" s="199">
        <v>382894</v>
      </c>
    </row>
    <row r="28" spans="1:8" ht="18.75" customHeight="1" x14ac:dyDescent="0.25">
      <c r="A28" s="21" t="s">
        <v>35</v>
      </c>
      <c r="B28" s="216" t="s">
        <v>21</v>
      </c>
      <c r="C28" s="217"/>
      <c r="D28" s="217"/>
      <c r="E28" s="217"/>
      <c r="F28" s="217"/>
      <c r="G28" s="218"/>
      <c r="H28" s="196">
        <f>SUM(H29:H36)</f>
        <v>248039</v>
      </c>
    </row>
    <row r="29" spans="1:8" ht="15.75" customHeight="1" x14ac:dyDescent="0.25">
      <c r="A29" s="21" t="s">
        <v>64</v>
      </c>
      <c r="B29" s="235" t="s">
        <v>29</v>
      </c>
      <c r="C29" s="235"/>
      <c r="D29" s="235"/>
      <c r="E29" s="235"/>
      <c r="F29" s="235"/>
      <c r="G29" s="235"/>
      <c r="H29" s="233">
        <v>57924</v>
      </c>
    </row>
    <row r="30" spans="1:8" ht="15.75" customHeight="1" x14ac:dyDescent="0.25">
      <c r="A30" s="20"/>
      <c r="B30" s="236" t="s">
        <v>325</v>
      </c>
      <c r="C30" s="236"/>
      <c r="D30" s="236"/>
      <c r="E30" s="236"/>
      <c r="F30" s="236"/>
      <c r="G30" s="236"/>
      <c r="H30" s="234"/>
    </row>
    <row r="31" spans="1:8" ht="16.5" customHeight="1" x14ac:dyDescent="0.25">
      <c r="A31" s="19" t="s">
        <v>62</v>
      </c>
      <c r="B31" s="214" t="s">
        <v>74</v>
      </c>
      <c r="C31" s="214"/>
      <c r="D31" s="214"/>
      <c r="E31" s="214"/>
      <c r="F31" s="214"/>
      <c r="G31" s="215"/>
      <c r="H31" s="42">
        <v>19406</v>
      </c>
    </row>
    <row r="32" spans="1:8" ht="16.5" customHeight="1" x14ac:dyDescent="0.25">
      <c r="A32" s="19" t="s">
        <v>63</v>
      </c>
      <c r="B32" s="209" t="s">
        <v>30</v>
      </c>
      <c r="C32" s="209"/>
      <c r="D32" s="209"/>
      <c r="E32" s="209"/>
      <c r="F32" s="209"/>
      <c r="G32" s="209"/>
      <c r="H32" s="199">
        <v>14725</v>
      </c>
    </row>
    <row r="33" spans="1:17" ht="16.5" customHeight="1" x14ac:dyDescent="0.25">
      <c r="A33" s="19" t="s">
        <v>91</v>
      </c>
      <c r="B33" s="237" t="s">
        <v>31</v>
      </c>
      <c r="C33" s="237"/>
      <c r="D33" s="237"/>
      <c r="E33" s="237"/>
      <c r="F33" s="237"/>
      <c r="G33" s="237"/>
      <c r="H33" s="199">
        <v>10230</v>
      </c>
    </row>
    <row r="34" spans="1:17" ht="16.5" customHeight="1" x14ac:dyDescent="0.25">
      <c r="A34" s="157" t="s">
        <v>92</v>
      </c>
      <c r="B34" s="209" t="s">
        <v>75</v>
      </c>
      <c r="C34" s="209"/>
      <c r="D34" s="209"/>
      <c r="E34" s="209"/>
      <c r="F34" s="209"/>
      <c r="G34" s="209"/>
      <c r="H34" s="199">
        <v>141410</v>
      </c>
    </row>
    <row r="35" spans="1:17" ht="16.5" customHeight="1" x14ac:dyDescent="0.25">
      <c r="A35" s="19" t="s">
        <v>93</v>
      </c>
      <c r="B35" s="209" t="s">
        <v>21</v>
      </c>
      <c r="C35" s="209"/>
      <c r="D35" s="209"/>
      <c r="E35" s="209"/>
      <c r="F35" s="209"/>
      <c r="G35" s="209"/>
      <c r="H35" s="199">
        <v>2896</v>
      </c>
    </row>
    <row r="36" spans="1:17" ht="19.5" customHeight="1" x14ac:dyDescent="0.25">
      <c r="A36" s="19" t="s">
        <v>94</v>
      </c>
      <c r="B36" s="209" t="s">
        <v>2</v>
      </c>
      <c r="C36" s="209"/>
      <c r="D36" s="209"/>
      <c r="E36" s="209"/>
      <c r="F36" s="209"/>
      <c r="G36" s="209"/>
      <c r="H36" s="199">
        <v>1448</v>
      </c>
    </row>
    <row r="37" spans="1:17" ht="16.5" customHeight="1" x14ac:dyDescent="0.25">
      <c r="A37" s="19" t="s">
        <v>36</v>
      </c>
      <c r="B37" s="209" t="s">
        <v>12</v>
      </c>
      <c r="C37" s="209"/>
      <c r="D37" s="209"/>
      <c r="E37" s="209"/>
      <c r="F37" s="209"/>
      <c r="G37" s="209"/>
      <c r="H37" s="199">
        <v>10137</v>
      </c>
      <c r="I37" s="36"/>
    </row>
    <row r="38" spans="1:17" ht="18" customHeight="1" x14ac:dyDescent="0.25">
      <c r="A38" s="19" t="s">
        <v>37</v>
      </c>
      <c r="B38" s="216" t="s">
        <v>377</v>
      </c>
      <c r="C38" s="217"/>
      <c r="D38" s="217"/>
      <c r="E38" s="217"/>
      <c r="F38" s="217"/>
      <c r="G38" s="218"/>
      <c r="H38" s="200">
        <f>SUM(H9+H20+H28+H37)</f>
        <v>17738906</v>
      </c>
    </row>
    <row r="39" spans="1:17" ht="18.75" customHeight="1" x14ac:dyDescent="0.25">
      <c r="A39" s="19" t="s">
        <v>38</v>
      </c>
      <c r="B39" s="230" t="s">
        <v>334</v>
      </c>
      <c r="C39" s="231"/>
      <c r="D39" s="231"/>
      <c r="E39" s="231"/>
      <c r="F39" s="231"/>
      <c r="G39" s="232"/>
      <c r="H39" s="42">
        <v>527721</v>
      </c>
    </row>
    <row r="40" spans="1:17" ht="17.25" customHeight="1" x14ac:dyDescent="0.25">
      <c r="A40" s="19" t="s">
        <v>361</v>
      </c>
      <c r="B40" s="227" t="s">
        <v>336</v>
      </c>
      <c r="C40" s="228"/>
      <c r="D40" s="228"/>
      <c r="E40" s="228"/>
      <c r="F40" s="228"/>
      <c r="G40" s="229"/>
      <c r="H40" s="18">
        <f>SUM(H38:H39)</f>
        <v>18266627</v>
      </c>
    </row>
    <row r="41" spans="1:17" ht="16.5" customHeight="1" x14ac:dyDescent="0.25">
      <c r="A41" s="157" t="s">
        <v>40</v>
      </c>
      <c r="B41" s="224" t="s">
        <v>378</v>
      </c>
      <c r="C41" s="225"/>
      <c r="D41" s="225"/>
      <c r="E41" s="225"/>
      <c r="F41" s="225"/>
      <c r="G41" s="226"/>
      <c r="H41" s="156">
        <v>252165</v>
      </c>
    </row>
    <row r="42" spans="1:17" s="168" customFormat="1" ht="16.5" customHeight="1" x14ac:dyDescent="0.25">
      <c r="A42" s="157" t="s">
        <v>379</v>
      </c>
      <c r="B42" s="223" t="s">
        <v>337</v>
      </c>
      <c r="C42" s="223"/>
      <c r="D42" s="223"/>
      <c r="E42" s="223"/>
      <c r="F42" s="223"/>
      <c r="G42" s="223"/>
      <c r="H42" s="195">
        <f>SUM(H38:H39,H41)</f>
        <v>18518792</v>
      </c>
      <c r="J42" s="16"/>
      <c r="K42" s="16"/>
      <c r="L42" s="16"/>
      <c r="M42" s="16"/>
      <c r="N42" s="16"/>
      <c r="O42" s="16"/>
      <c r="P42" s="16"/>
      <c r="Q42" s="16"/>
    </row>
  </sheetData>
  <mergeCells count="41">
    <mergeCell ref="H29:H30"/>
    <mergeCell ref="B34:G34"/>
    <mergeCell ref="B27:G27"/>
    <mergeCell ref="B10:G10"/>
    <mergeCell ref="B25:G25"/>
    <mergeCell ref="B29:G29"/>
    <mergeCell ref="B15:G15"/>
    <mergeCell ref="B30:G30"/>
    <mergeCell ref="B33:G33"/>
    <mergeCell ref="B22:G22"/>
    <mergeCell ref="B23:G23"/>
    <mergeCell ref="B11:G11"/>
    <mergeCell ref="B32:G32"/>
    <mergeCell ref="B18:G18"/>
    <mergeCell ref="B28:G28"/>
    <mergeCell ref="B24:G24"/>
    <mergeCell ref="B42:G42"/>
    <mergeCell ref="B35:G35"/>
    <mergeCell ref="B41:G41"/>
    <mergeCell ref="B36:G36"/>
    <mergeCell ref="B40:G40"/>
    <mergeCell ref="B39:G39"/>
    <mergeCell ref="B37:G37"/>
    <mergeCell ref="B38:G38"/>
    <mergeCell ref="B31:G31"/>
    <mergeCell ref="B19:G19"/>
    <mergeCell ref="B9:G9"/>
    <mergeCell ref="B21:G21"/>
    <mergeCell ref="B13:G13"/>
    <mergeCell ref="B12:G12"/>
    <mergeCell ref="B20:G20"/>
    <mergeCell ref="B26:G26"/>
    <mergeCell ref="F1:H1"/>
    <mergeCell ref="F2:I2"/>
    <mergeCell ref="F3:G3"/>
    <mergeCell ref="B17:G17"/>
    <mergeCell ref="B6:H6"/>
    <mergeCell ref="B16:G16"/>
    <mergeCell ref="B8:G8"/>
    <mergeCell ref="B14:G14"/>
    <mergeCell ref="B7:H7"/>
  </mergeCells>
  <phoneticPr fontId="0" type="noConversion"/>
  <pageMargins left="0.55118110236220474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55"/>
  <sheetViews>
    <sheetView showZeros="0" workbookViewId="0">
      <selection activeCell="B1" sqref="B1"/>
    </sheetView>
  </sheetViews>
  <sheetFormatPr defaultRowHeight="12.75" x14ac:dyDescent="0.2"/>
  <cols>
    <col min="1" max="1" width="3.7109375" customWidth="1"/>
    <col min="2" max="2" width="41" customWidth="1"/>
    <col min="3" max="3" width="10.85546875" customWidth="1"/>
    <col min="4" max="4" width="10.5703125" customWidth="1"/>
    <col min="5" max="5" width="11.140625" customWidth="1"/>
    <col min="6" max="6" width="11.7109375" customWidth="1"/>
    <col min="8" max="8" width="11.5703125" customWidth="1"/>
  </cols>
  <sheetData>
    <row r="1" spans="1:13" ht="17.25" customHeight="1" x14ac:dyDescent="0.25">
      <c r="A1" s="16"/>
      <c r="B1" s="16"/>
      <c r="C1" s="208" t="s">
        <v>76</v>
      </c>
      <c r="D1" s="208"/>
      <c r="E1" s="208"/>
      <c r="F1" s="208"/>
    </row>
    <row r="2" spans="1:13" ht="15.75" customHeight="1" x14ac:dyDescent="0.25">
      <c r="A2" s="16"/>
      <c r="B2" s="16"/>
      <c r="C2" s="208" t="s">
        <v>447</v>
      </c>
      <c r="D2" s="208"/>
      <c r="E2" s="208"/>
      <c r="F2" s="208"/>
    </row>
    <row r="3" spans="1:13" ht="15.75" customHeight="1" x14ac:dyDescent="0.25">
      <c r="A3" s="16"/>
      <c r="B3" s="16"/>
      <c r="C3" s="208" t="s">
        <v>371</v>
      </c>
      <c r="D3" s="208"/>
      <c r="E3" s="208"/>
      <c r="F3" s="208"/>
    </row>
    <row r="4" spans="1:13" ht="13.5" hidden="1" customHeight="1" x14ac:dyDescent="0.25">
      <c r="A4" s="16"/>
      <c r="B4" s="16"/>
      <c r="C4" s="1" t="s">
        <v>331</v>
      </c>
      <c r="D4" s="1"/>
      <c r="E4" s="1"/>
      <c r="F4" s="16"/>
    </row>
    <row r="5" spans="1:13" ht="14.25" hidden="1" customHeight="1" x14ac:dyDescent="0.25">
      <c r="A5" s="16"/>
      <c r="B5" s="16"/>
      <c r="C5" s="1" t="s">
        <v>326</v>
      </c>
      <c r="D5" s="1"/>
      <c r="E5" s="1"/>
      <c r="F5" s="16"/>
    </row>
    <row r="6" spans="1:13" ht="13.5" customHeight="1" x14ac:dyDescent="0.25">
      <c r="A6" s="16"/>
      <c r="B6" s="16"/>
      <c r="C6" s="201" t="s">
        <v>466</v>
      </c>
      <c r="D6" s="201"/>
      <c r="E6" s="34"/>
      <c r="F6" s="16"/>
    </row>
    <row r="7" spans="1:13" ht="13.5" customHeight="1" x14ac:dyDescent="0.25">
      <c r="A7" s="16"/>
      <c r="B7" s="16"/>
      <c r="C7" s="1" t="s">
        <v>326</v>
      </c>
      <c r="D7" s="1"/>
      <c r="E7" s="1"/>
      <c r="F7" s="16"/>
    </row>
    <row r="8" spans="1:13" ht="18" customHeight="1" x14ac:dyDescent="0.25">
      <c r="A8" s="210" t="s">
        <v>414</v>
      </c>
      <c r="B8" s="210"/>
      <c r="C8" s="210"/>
      <c r="D8" s="210"/>
      <c r="E8" s="210"/>
      <c r="F8" s="210"/>
    </row>
    <row r="9" spans="1:13" ht="17.25" customHeight="1" x14ac:dyDescent="0.25">
      <c r="A9" s="16"/>
      <c r="B9" s="210" t="s">
        <v>236</v>
      </c>
      <c r="C9" s="210"/>
      <c r="D9" s="210"/>
      <c r="E9" s="210"/>
      <c r="F9" s="210"/>
    </row>
    <row r="10" spans="1:13" ht="12.75" customHeight="1" x14ac:dyDescent="0.25">
      <c r="A10" s="16"/>
      <c r="B10" s="244" t="s">
        <v>402</v>
      </c>
      <c r="C10" s="244"/>
      <c r="D10" s="244"/>
      <c r="E10" s="244"/>
      <c r="F10" s="244"/>
    </row>
    <row r="11" spans="1:13" ht="13.5" customHeight="1" x14ac:dyDescent="0.2">
      <c r="A11" s="238" t="s">
        <v>56</v>
      </c>
      <c r="B11" s="238" t="s">
        <v>238</v>
      </c>
      <c r="C11" s="238" t="s">
        <v>120</v>
      </c>
      <c r="D11" s="241" t="s">
        <v>144</v>
      </c>
      <c r="E11" s="242"/>
      <c r="F11" s="243"/>
    </row>
    <row r="12" spans="1:13" ht="13.5" customHeight="1" x14ac:dyDescent="0.2">
      <c r="A12" s="239"/>
      <c r="B12" s="239"/>
      <c r="C12" s="239"/>
      <c r="D12" s="241" t="s">
        <v>104</v>
      </c>
      <c r="E12" s="243"/>
      <c r="F12" s="238" t="s">
        <v>313</v>
      </c>
    </row>
    <row r="13" spans="1:13" ht="12.75" customHeight="1" x14ac:dyDescent="0.2">
      <c r="A13" s="239"/>
      <c r="B13" s="239"/>
      <c r="C13" s="239"/>
      <c r="D13" s="238" t="s">
        <v>4</v>
      </c>
      <c r="E13" s="238" t="s">
        <v>105</v>
      </c>
      <c r="F13" s="239"/>
    </row>
    <row r="14" spans="1:13" ht="66" customHeight="1" x14ac:dyDescent="0.2">
      <c r="A14" s="240"/>
      <c r="B14" s="240"/>
      <c r="C14" s="240"/>
      <c r="D14" s="240"/>
      <c r="E14" s="240"/>
      <c r="F14" s="240"/>
      <c r="M14" s="128"/>
    </row>
    <row r="15" spans="1:13" ht="13.5" customHeight="1" x14ac:dyDescent="0.25">
      <c r="A15" s="19" t="s">
        <v>33</v>
      </c>
      <c r="B15" s="3" t="s">
        <v>8</v>
      </c>
      <c r="C15" s="108">
        <f>SUM(D15,F15)</f>
        <v>10221798</v>
      </c>
      <c r="D15" s="113">
        <f>SUM('sav.f. 3 '!G15,'sav.f. 3 '!G18:G22,'sav.f. 3 '!G24,'sav.f. 3 '!G25,'sav.f. 3 '!G26:G30,'sav.f. 3 '!G32:G36, 'sav.f. 3 '!G37,'sav.f. 3 '!G52:G55,'sav.f. 3 '!G69:G73,'sav.f. 3 '!G75:G77,'sav.f. 3 '!G80:G82,'sav.f. 3 '!G100:G105,'sav.f. 3 '!G107:G119,'Valst.f. 4'!G15:G32,'Valst.f. 4'!G33:G34,'Valst.f. 4'!G52,'Valst.f. 4'!G54,AARP.6!I40,'MK 5'!G30,'MK 5'!G29,'sav.f. 3 '!G99,'Valst.f. 4'!G50,'Valst.f. 4'!G51,'Valst.f. 4'!G53,'sav.f. 3 '!G31,Spec.7!H23, 'Valst.f. 4'!G61, 'Valst.f. 4'!F60)</f>
        <v>8018809</v>
      </c>
      <c r="E15" s="113">
        <f>SUM('sav.f. 3 '!H15,'sav.f. 3 '!H18:H22,'sav.f. 3 '!H24,'sav.f. 3 '!H25,'sav.f. 3 '!H26:H30,'sav.f. 3 '!H32:H36, 'sav.f. 3 '!H37,'sav.f. 3 '!H52:H55,'sav.f. 3 '!H69:H73,'sav.f. 3 '!H75:H77,'sav.f. 3 '!H80:H82,'sav.f. 3 '!H100:H105,'sav.f. 3 '!H107:H119,'Valst.f. 4'!H15:H32,'Valst.f. 4'!H33:H34,'Valst.f. 4'!H52,'Valst.f. 4'!H54,AARP.6!J40,'MK 5'!H30,'MK 5'!H29,'sav.f. 3 '!H99,'Valst.f. 4'!H50,'Valst.f. 4'!H51,'Valst.f. 4'!H53,'sav.f. 3 '!H31,Spec.7!I23)</f>
        <v>1599059</v>
      </c>
      <c r="F15" s="113">
        <f>SUM('sav.f. 3 '!I15,'sav.f. 3 '!I18:I22,'sav.f. 3 '!I24,'sav.f. 3 '!I25,'sav.f. 3 '!I26:I30,'sav.f. 3 '!I32:I37, 'sav.f. 3 '!I52:I55,'sav.f. 3 '!I69:I73,'sav.f. 3 '!I75:I77,'sav.f. 3 '!I80:I82,'sav.f. 3 '!I100:I105,'sav.f. 3 '!I107:I119,'Valst.f. 4'!I15:I31,'Valst.f. 4'!I33,'Valst.f. 4'!I52,'Valst.f. 4'!I54,AARP.6!K40,'Valst.f. 4'!I57,'Valst.f. 4'!I58, 'Valst.f. 4'!I61)</f>
        <v>2202989</v>
      </c>
    </row>
    <row r="16" spans="1:13" ht="14.25" customHeight="1" x14ac:dyDescent="0.25">
      <c r="A16" s="19" t="s">
        <v>34</v>
      </c>
      <c r="B16" s="3" t="s">
        <v>187</v>
      </c>
      <c r="C16" s="109">
        <f>SUM(D16,F16)</f>
        <v>55114</v>
      </c>
      <c r="D16" s="40">
        <f>SUM('sav.f. 3 '!G17)</f>
        <v>55114</v>
      </c>
      <c r="E16" s="40">
        <f>SUM('sav.f. 3 '!H17)</f>
        <v>38210</v>
      </c>
      <c r="F16" s="40">
        <f>SUM('sav.f. 3 '!I17)</f>
        <v>0</v>
      </c>
      <c r="I16" s="22"/>
    </row>
    <row r="17" spans="1:6" ht="14.25" customHeight="1" x14ac:dyDescent="0.25">
      <c r="A17" s="19" t="s">
        <v>35</v>
      </c>
      <c r="B17" s="11" t="s">
        <v>346</v>
      </c>
      <c r="C17" s="109">
        <f t="shared" ref="C17:C50" si="0">SUM(D17,F17)</f>
        <v>509169</v>
      </c>
      <c r="D17" s="40">
        <f>SUM('sav.f. 3 '!G83+'Valst.f. 4'!G35+'MK 5'!G13+Spec.7!H12)</f>
        <v>509169</v>
      </c>
      <c r="E17" s="40">
        <f>SUM('sav.f. 3 '!H83+'Valst.f. 4'!H35+'MK 5'!H13+Spec.7!I12)</f>
        <v>315866</v>
      </c>
      <c r="F17" s="40">
        <f>SUM(,'MK 5'!I13)</f>
        <v>0</v>
      </c>
    </row>
    <row r="18" spans="1:6" ht="14.25" customHeight="1" x14ac:dyDescent="0.25">
      <c r="A18" s="19" t="s">
        <v>36</v>
      </c>
      <c r="B18" s="3" t="s">
        <v>347</v>
      </c>
      <c r="C18" s="109">
        <f t="shared" si="0"/>
        <v>474367</v>
      </c>
      <c r="D18" s="40">
        <f>SUM('sav.f. 3 '!G84+'Valst.f. 4'!G36+'MK 5'!G14+Spec.7!H13)</f>
        <v>474367</v>
      </c>
      <c r="E18" s="40">
        <f>SUM('sav.f. 3 '!H84+'Valst.f. 4'!H36+'MK 5'!H14+Spec.7!I13)</f>
        <v>290516</v>
      </c>
      <c r="F18" s="40">
        <f>SUM(,'MK 5'!I14)</f>
        <v>0</v>
      </c>
    </row>
    <row r="19" spans="1:6" ht="14.25" customHeight="1" x14ac:dyDescent="0.25">
      <c r="A19" s="19" t="s">
        <v>37</v>
      </c>
      <c r="B19" s="3" t="s">
        <v>348</v>
      </c>
      <c r="C19" s="109">
        <f t="shared" si="0"/>
        <v>72765</v>
      </c>
      <c r="D19" s="40">
        <f>SUM('sav.f. 3 '!G85+'Valst.f. 4'!G37+'MK 5'!G15+Spec.7!H10)</f>
        <v>72765</v>
      </c>
      <c r="E19" s="40">
        <f>SUM('sav.f. 3 '!H85+'Valst.f. 4'!H37+'MK 5'!H15+Spec.7!I10)</f>
        <v>45682</v>
      </c>
      <c r="F19" s="40">
        <f>SUM('sav.f. 3 '!I85+'Valst.f. 4'!I37+Spec.7!J10)</f>
        <v>0</v>
      </c>
    </row>
    <row r="20" spans="1:6" ht="15" customHeight="1" x14ac:dyDescent="0.25">
      <c r="A20" s="19" t="s">
        <v>38</v>
      </c>
      <c r="B20" s="3" t="s">
        <v>349</v>
      </c>
      <c r="C20" s="109">
        <f t="shared" si="0"/>
        <v>198734</v>
      </c>
      <c r="D20" s="40">
        <f>SUM('sav.f. 3 '!G86+'Valst.f. 4'!G38+'MK 5'!G16+Spec.7!H11)</f>
        <v>198734</v>
      </c>
      <c r="E20" s="40">
        <f>SUM('sav.f. 3 '!H86+'Valst.f. 4'!H38+'MK 5'!H16+Spec.7!I11)</f>
        <v>123642</v>
      </c>
      <c r="F20" s="40">
        <f>SUM('sav.f. 3 '!I86+'Valst.f. 4'!I38+Spec.7!J11)</f>
        <v>0</v>
      </c>
    </row>
    <row r="21" spans="1:6" ht="14.25" customHeight="1" x14ac:dyDescent="0.25">
      <c r="A21" s="19" t="s">
        <v>39</v>
      </c>
      <c r="B21" s="3" t="s">
        <v>350</v>
      </c>
      <c r="C21" s="109">
        <f t="shared" si="0"/>
        <v>218329</v>
      </c>
      <c r="D21" s="40">
        <f>SUM('sav.f. 3 '!G87+'Valst.f. 4'!G39+'MK 5'!G17)</f>
        <v>218329</v>
      </c>
      <c r="E21" s="40">
        <f>SUM('sav.f. 3 '!H87+'Valst.f. 4'!H39+'MK 5'!H17)</f>
        <v>144792</v>
      </c>
      <c r="F21" s="40">
        <f>SUM('sav.f. 3 '!I87+'Valst.f. 4'!I39+'MK 5'!I17)</f>
        <v>0</v>
      </c>
    </row>
    <row r="22" spans="1:6" ht="14.25" customHeight="1" x14ac:dyDescent="0.25">
      <c r="A22" s="19" t="s">
        <v>40</v>
      </c>
      <c r="B22" s="3" t="s">
        <v>351</v>
      </c>
      <c r="C22" s="109">
        <f t="shared" si="0"/>
        <v>174262</v>
      </c>
      <c r="D22" s="40">
        <f>SUM('sav.f. 3 '!G88+'Valst.f. 4'!G40+'MK 5'!G18)</f>
        <v>174175</v>
      </c>
      <c r="E22" s="40">
        <f>SUM('sav.f. 3 '!H88+'Valst.f. 4'!H40+'MK 5'!H18)</f>
        <v>121865</v>
      </c>
      <c r="F22" s="40">
        <f>SUM('sav.f. 3 '!I88+'Valst.f. 4'!I40+'MK 5'!I18)</f>
        <v>87</v>
      </c>
    </row>
    <row r="23" spans="1:6" ht="14.25" customHeight="1" x14ac:dyDescent="0.25">
      <c r="A23" s="19" t="s">
        <v>41</v>
      </c>
      <c r="B23" s="3" t="s">
        <v>352</v>
      </c>
      <c r="C23" s="109">
        <f t="shared" si="0"/>
        <v>315567</v>
      </c>
      <c r="D23" s="113">
        <f>SUM('sav.f. 3 '!G89+'Valst.f. 4'!G41+'MK 5'!G19,Spec.7!E22:G22)</f>
        <v>315567</v>
      </c>
      <c r="E23" s="40">
        <f>SUM('sav.f. 3 '!H89+'Valst.f. 4'!H41+'MK 5'!H19)</f>
        <v>205417</v>
      </c>
      <c r="F23" s="40">
        <f>SUM('sav.f. 3 '!I89+'Valst.f. 4'!I41+'MK 5'!I19)</f>
        <v>0</v>
      </c>
    </row>
    <row r="24" spans="1:6" ht="14.25" customHeight="1" x14ac:dyDescent="0.25">
      <c r="A24" s="19" t="s">
        <v>42</v>
      </c>
      <c r="B24" s="2" t="s">
        <v>353</v>
      </c>
      <c r="C24" s="109">
        <f t="shared" si="0"/>
        <v>305445</v>
      </c>
      <c r="D24" s="40">
        <f>SUM('sav.f. 3 '!G90+'Valst.f. 4'!G42+'MK 5'!G20+Spec.7!H20)</f>
        <v>305445</v>
      </c>
      <c r="E24" s="40">
        <f>SUM('sav.f. 3 '!H90+'Valst.f. 4'!H42+'MK 5'!H20+Spec.7!I20)</f>
        <v>194270</v>
      </c>
      <c r="F24" s="40">
        <f>SUM('sav.f. 3 '!I90+'Valst.f. 4'!I42+'MK 5'!I20)</f>
        <v>0</v>
      </c>
    </row>
    <row r="25" spans="1:6" ht="14.25" customHeight="1" x14ac:dyDescent="0.25">
      <c r="A25" s="19" t="s">
        <v>43</v>
      </c>
      <c r="B25" s="2" t="s">
        <v>354</v>
      </c>
      <c r="C25" s="109">
        <f t="shared" si="0"/>
        <v>226871</v>
      </c>
      <c r="D25" s="40">
        <f>SUM('sav.f. 3 '!G91+'Valst.f. 4'!G43+'MK 5'!G21+Spec.7!H19)</f>
        <v>226871</v>
      </c>
      <c r="E25" s="40">
        <f>SUM('sav.f. 3 '!H91+'Valst.f. 4'!H43+'MK 5'!H21+Spec.7!I19)</f>
        <v>151467</v>
      </c>
      <c r="F25" s="40">
        <f>SUM('sav.f. 3 '!I91+'Valst.f. 4'!I43+'MK 5'!I21)</f>
        <v>0</v>
      </c>
    </row>
    <row r="26" spans="1:6" ht="14.25" customHeight="1" x14ac:dyDescent="0.25">
      <c r="A26" s="19" t="s">
        <v>44</v>
      </c>
      <c r="B26" s="2" t="s">
        <v>355</v>
      </c>
      <c r="C26" s="109">
        <f t="shared" si="0"/>
        <v>200154</v>
      </c>
      <c r="D26" s="40">
        <f>SUM('sav.f. 3 '!G92+'Valst.f. 4'!G44+'MK 5'!G22)</f>
        <v>200154</v>
      </c>
      <c r="E26" s="40">
        <f>SUM('sav.f. 3 '!H92+'Valst.f. 4'!H44+'MK 5'!H22)</f>
        <v>132216</v>
      </c>
      <c r="F26" s="40">
        <f>SUM('sav.f. 3 '!I92+'Valst.f. 4'!I44+'MK 5'!I22)</f>
        <v>0</v>
      </c>
    </row>
    <row r="27" spans="1:6" ht="14.25" customHeight="1" x14ac:dyDescent="0.25">
      <c r="A27" s="19" t="s">
        <v>45</v>
      </c>
      <c r="B27" s="4" t="s">
        <v>356</v>
      </c>
      <c r="C27" s="109">
        <f t="shared" si="0"/>
        <v>375116</v>
      </c>
      <c r="D27" s="40">
        <f>SUM('sav.f. 3 '!G93+'Valst.f. 4'!G45+'MK 5'!G23+Spec.7!H17)</f>
        <v>375116</v>
      </c>
      <c r="E27" s="40">
        <f>SUM('sav.f. 3 '!H93+'Valst.f. 4'!H45+'MK 5'!H23+Spec.7!I17)</f>
        <v>252064</v>
      </c>
      <c r="F27" s="40">
        <f>SUM('sav.f. 3 '!I93+'Valst.f. 4'!I45+'MK 5'!I23)</f>
        <v>0</v>
      </c>
    </row>
    <row r="28" spans="1:6" ht="14.25" customHeight="1" x14ac:dyDescent="0.25">
      <c r="A28" s="19" t="s">
        <v>46</v>
      </c>
      <c r="B28" s="4" t="s">
        <v>357</v>
      </c>
      <c r="C28" s="109">
        <f t="shared" si="0"/>
        <v>375564</v>
      </c>
      <c r="D28" s="40">
        <f>SUM('sav.f. 3 '!G94+'Valst.f. 4'!G46+'MK 5'!G24+Spec.7!H18)</f>
        <v>375564</v>
      </c>
      <c r="E28" s="40">
        <f>SUM('sav.f. 3 '!H94+'Valst.f. 4'!H46+'MK 5'!H24+Spec.7!I18)</f>
        <v>234760</v>
      </c>
      <c r="F28" s="40">
        <f>SUM('sav.f. 3 '!I94+'Valst.f. 4'!I46+'MK 5'!I24)</f>
        <v>0</v>
      </c>
    </row>
    <row r="29" spans="1:6" ht="14.25" customHeight="1" x14ac:dyDescent="0.25">
      <c r="A29" s="19" t="s">
        <v>47</v>
      </c>
      <c r="B29" s="3" t="s">
        <v>324</v>
      </c>
      <c r="C29" s="109">
        <f t="shared" si="0"/>
        <v>795642</v>
      </c>
      <c r="D29" s="40">
        <f>SUM('sav.f. 3 '!G95+'Valst.f. 4'!G47+'MK 5'!G25+Spec.7!H15)</f>
        <v>665313</v>
      </c>
      <c r="E29" s="40">
        <f>SUM('sav.f. 3 '!H95+'Valst.f. 4'!H47+'MK 5'!H25+Spec.7!I15)</f>
        <v>435298</v>
      </c>
      <c r="F29" s="40">
        <f>SUM('sav.f. 3 '!I95+'Valst.f. 4'!I47+'MK 5'!I25,'Valst.f. 4'!F59)</f>
        <v>130329</v>
      </c>
    </row>
    <row r="30" spans="1:6" ht="14.25" customHeight="1" x14ac:dyDescent="0.25">
      <c r="A30" s="19" t="s">
        <v>48</v>
      </c>
      <c r="B30" s="3" t="s">
        <v>358</v>
      </c>
      <c r="C30" s="109">
        <f t="shared" si="0"/>
        <v>1275450</v>
      </c>
      <c r="D30" s="40">
        <f>SUM('sav.f. 3 '!G97+'Valst.f. 4'!G49+'Valst.f. 4'!G62+'MK 5'!G27+Spec.7!H14)</f>
        <v>1275450</v>
      </c>
      <c r="E30" s="40">
        <f>SUM('sav.f. 3 '!H97+'Valst.f. 4'!H49+'Valst.f. 4'!H62+'MK 5'!H27+Spec.7!I14)</f>
        <v>844756</v>
      </c>
      <c r="F30" s="40">
        <f>SUM('sav.f. 3 '!I97+'Valst.f. 4'!I48+'MK 5'!I27)</f>
        <v>0</v>
      </c>
    </row>
    <row r="31" spans="1:6" ht="14.25" customHeight="1" x14ac:dyDescent="0.25">
      <c r="A31" s="19" t="s">
        <v>49</v>
      </c>
      <c r="B31" s="3" t="s">
        <v>359</v>
      </c>
      <c r="C31" s="109">
        <f t="shared" si="0"/>
        <v>638386</v>
      </c>
      <c r="D31" s="40">
        <f>SUM('sav.f. 3 '!G96+'Valst.f. 4'!G48+'MK 5'!G26+Spec.7!H16)</f>
        <v>638386</v>
      </c>
      <c r="E31" s="40">
        <f>SUM('sav.f. 3 '!H96+'Valst.f. 4'!H48+'MK 5'!H26+Spec.7!I16)</f>
        <v>408600</v>
      </c>
      <c r="F31" s="40">
        <f>SUM('sav.f. 3 '!I96+'Valst.f. 4'!I49+'MK 5'!I26)</f>
        <v>0</v>
      </c>
    </row>
    <row r="32" spans="1:6" ht="14.25" customHeight="1" x14ac:dyDescent="0.25">
      <c r="A32" s="19" t="s">
        <v>50</v>
      </c>
      <c r="B32" s="3" t="s">
        <v>26</v>
      </c>
      <c r="C32" s="109">
        <f t="shared" si="0"/>
        <v>372283</v>
      </c>
      <c r="D32" s="40">
        <f>SUM('sav.f. 3 '!G98+'MK 5'!G28+Spec.7!H21)</f>
        <v>372283</v>
      </c>
      <c r="E32" s="40">
        <f>SUM('sav.f. 3 '!H98+'MK 5'!H28)</f>
        <v>254436</v>
      </c>
      <c r="F32" s="40">
        <f>SUM('sav.f. 3 '!I98)</f>
        <v>0</v>
      </c>
    </row>
    <row r="33" spans="1:9" ht="14.25" customHeight="1" x14ac:dyDescent="0.25">
      <c r="A33" s="19" t="s">
        <v>51</v>
      </c>
      <c r="B33" s="3" t="s">
        <v>330</v>
      </c>
      <c r="C33" s="108">
        <f t="shared" si="0"/>
        <v>382740</v>
      </c>
      <c r="D33" s="40">
        <f>SUM('sav.f. 3 '!G78+Spec.7!H27)</f>
        <v>382740</v>
      </c>
      <c r="E33" s="40">
        <f>SUM('sav.f. 3 '!H78+Spec.7!I27)</f>
        <v>247100</v>
      </c>
      <c r="F33" s="40">
        <f>SUM('sav.f. 3 '!I78+Spec.7!J27)</f>
        <v>0</v>
      </c>
    </row>
    <row r="34" spans="1:9" ht="14.25" customHeight="1" x14ac:dyDescent="0.25">
      <c r="A34" s="19" t="s">
        <v>53</v>
      </c>
      <c r="B34" s="3" t="s">
        <v>19</v>
      </c>
      <c r="C34" s="109">
        <f t="shared" si="0"/>
        <v>75311</v>
      </c>
      <c r="D34" s="40">
        <f>SUM('sav.f. 3 '!G79)</f>
        <v>75311</v>
      </c>
      <c r="E34" s="40">
        <f>SUM('sav.f. 3 '!H79)</f>
        <v>47390</v>
      </c>
      <c r="F34" s="40">
        <f>SUM('sav.f. 3 '!I79)</f>
        <v>0</v>
      </c>
      <c r="I34" s="16"/>
    </row>
    <row r="35" spans="1:9" ht="14.25" customHeight="1" x14ac:dyDescent="0.25">
      <c r="A35" s="19" t="s">
        <v>54</v>
      </c>
      <c r="B35" s="3" t="s">
        <v>117</v>
      </c>
      <c r="C35" s="109">
        <f t="shared" si="0"/>
        <v>87494</v>
      </c>
      <c r="D35" s="113">
        <f>SUM('sav.f. 3 '!G74,'Valst.f. 4'!G55:G56,Spec.7!H25,-180)</f>
        <v>87314</v>
      </c>
      <c r="E35" s="40">
        <f>SUM('sav.f. 3 '!H74,'Valst.f. 4'!H55:H56)</f>
        <v>56440</v>
      </c>
      <c r="F35" s="113">
        <f>SUM('sav.f. 3 '!I74,'Valst.f. 4'!I55,Spec.7!H26)</f>
        <v>180</v>
      </c>
    </row>
    <row r="36" spans="1:9" ht="14.25" customHeight="1" x14ac:dyDescent="0.25">
      <c r="A36" s="19" t="s">
        <v>55</v>
      </c>
      <c r="B36" s="3" t="s">
        <v>112</v>
      </c>
      <c r="C36" s="109">
        <f t="shared" si="0"/>
        <v>110758</v>
      </c>
      <c r="D36" s="113">
        <f>SUM(Spec.7!H24,'sav.f. 3 '!G106)</f>
        <v>107758</v>
      </c>
      <c r="E36" s="40">
        <f>SUM('sav.f. 3 '!H106+'Valst.f. 4'!H50+Spec.7!I24)</f>
        <v>60730</v>
      </c>
      <c r="F36" s="40">
        <f>SUM('sav.f. 3 '!I106+'Valst.f. 4'!I50+Spec.7!J24)</f>
        <v>3000</v>
      </c>
    </row>
    <row r="37" spans="1:9" ht="14.25" customHeight="1" x14ac:dyDescent="0.25">
      <c r="A37" s="19" t="s">
        <v>65</v>
      </c>
      <c r="B37" s="3" t="s">
        <v>223</v>
      </c>
      <c r="C37" s="109">
        <f t="shared" si="0"/>
        <v>3733</v>
      </c>
      <c r="D37" s="40">
        <f>SUM('sav.f. 3 '!G39+'sav.f. 3 '!G56)</f>
        <v>3733</v>
      </c>
      <c r="E37" s="40">
        <f>SUM('sav.f. 3 '!H39+'sav.f. 3 '!H56)</f>
        <v>0</v>
      </c>
      <c r="F37" s="40">
        <f>SUM('sav.f. 3 '!I39+'sav.f. 3 '!I56)</f>
        <v>0</v>
      </c>
    </row>
    <row r="38" spans="1:9" ht="14.25" customHeight="1" x14ac:dyDescent="0.25">
      <c r="A38" s="19" t="s">
        <v>78</v>
      </c>
      <c r="B38" s="3" t="s">
        <v>224</v>
      </c>
      <c r="C38" s="109">
        <f t="shared" si="0"/>
        <v>8194</v>
      </c>
      <c r="D38" s="40">
        <f>SUM('sav.f. 3 '!G40+'sav.f. 3 '!G57)</f>
        <v>8194</v>
      </c>
      <c r="E38" s="40">
        <f>SUM('sav.f. 3 '!H40+'sav.f. 3 '!H57)</f>
        <v>0</v>
      </c>
      <c r="F38" s="40">
        <f>SUM('sav.f. 3 '!I40+'sav.f. 3 '!I57)</f>
        <v>0</v>
      </c>
    </row>
    <row r="39" spans="1:9" ht="14.25" customHeight="1" x14ac:dyDescent="0.25">
      <c r="A39" s="19" t="s">
        <v>114</v>
      </c>
      <c r="B39" s="3" t="s">
        <v>225</v>
      </c>
      <c r="C39" s="109">
        <f t="shared" si="0"/>
        <v>8028</v>
      </c>
      <c r="D39" s="40">
        <f>SUM('sav.f. 3 '!G41+'sav.f. 3 '!G58)</f>
        <v>8028</v>
      </c>
      <c r="E39" s="40">
        <f>SUM('sav.f. 3 '!H41+'sav.f. 3 '!H58)</f>
        <v>0</v>
      </c>
      <c r="F39" s="40">
        <f>SUM('sav.f. 3 '!I41+'sav.f. 3 '!I58)</f>
        <v>0</v>
      </c>
    </row>
    <row r="40" spans="1:9" ht="14.25" customHeight="1" x14ac:dyDescent="0.25">
      <c r="A40" s="19" t="s">
        <v>116</v>
      </c>
      <c r="B40" s="3" t="s">
        <v>226</v>
      </c>
      <c r="C40" s="109">
        <f t="shared" si="0"/>
        <v>6087</v>
      </c>
      <c r="D40" s="40">
        <f>SUM('sav.f. 3 '!G42+'sav.f. 3 '!G59)</f>
        <v>5418</v>
      </c>
      <c r="E40" s="40">
        <f>SUM('sav.f. 3 '!H42+'sav.f. 3 '!H59)</f>
        <v>0</v>
      </c>
      <c r="F40" s="40">
        <f>SUM('sav.f. 3 '!I42+'sav.f. 3 '!I59)</f>
        <v>669</v>
      </c>
    </row>
    <row r="41" spans="1:9" ht="14.25" customHeight="1" x14ac:dyDescent="0.25">
      <c r="A41" s="19" t="s">
        <v>239</v>
      </c>
      <c r="B41" s="3" t="s">
        <v>237</v>
      </c>
      <c r="C41" s="108">
        <f t="shared" si="0"/>
        <v>82432</v>
      </c>
      <c r="D41" s="40">
        <f>SUM('sav.f. 3 '!G43+'sav.f. 3 '!G60)</f>
        <v>77994</v>
      </c>
      <c r="E41" s="40">
        <f>SUM('sav.f. 3 '!H43+'sav.f. 3 '!H60)</f>
        <v>0</v>
      </c>
      <c r="F41" s="40">
        <f>SUM('sav.f. 3 '!I43+'sav.f. 3 '!I60)</f>
        <v>4438</v>
      </c>
    </row>
    <row r="42" spans="1:9" ht="14.25" customHeight="1" x14ac:dyDescent="0.25">
      <c r="A42" s="19" t="s">
        <v>133</v>
      </c>
      <c r="B42" s="3" t="s">
        <v>227</v>
      </c>
      <c r="C42" s="109">
        <f t="shared" si="0"/>
        <v>10822</v>
      </c>
      <c r="D42" s="40">
        <f>SUM('sav.f. 3 '!G44+'sav.f. 3 '!G61)</f>
        <v>10822</v>
      </c>
      <c r="E42" s="40">
        <f>SUM('sav.f. 3 '!H44+'sav.f. 3 '!H61)</f>
        <v>0</v>
      </c>
      <c r="F42" s="40">
        <f>SUM('sav.f. 3 '!I44+'sav.f. 3 '!I61)</f>
        <v>0</v>
      </c>
    </row>
    <row r="43" spans="1:9" ht="14.25" customHeight="1" x14ac:dyDescent="0.25">
      <c r="A43" s="19" t="s">
        <v>134</v>
      </c>
      <c r="B43" s="3" t="s">
        <v>228</v>
      </c>
      <c r="C43" s="109">
        <f t="shared" si="0"/>
        <v>4575</v>
      </c>
      <c r="D43" s="40">
        <f>SUM('sav.f. 3 '!G45+'sav.f. 3 '!G62)</f>
        <v>4575</v>
      </c>
      <c r="E43" s="40">
        <f>SUM('sav.f. 3 '!H45+'sav.f. 3 '!H62)</f>
        <v>0</v>
      </c>
      <c r="F43" s="40">
        <f>SUM('sav.f. 3 '!I45+'sav.f. 3 '!I62)</f>
        <v>0</v>
      </c>
    </row>
    <row r="44" spans="1:9" ht="14.25" customHeight="1" x14ac:dyDescent="0.25">
      <c r="A44" s="19" t="s">
        <v>135</v>
      </c>
      <c r="B44" s="3" t="s">
        <v>229</v>
      </c>
      <c r="C44" s="109">
        <f t="shared" si="0"/>
        <v>14994</v>
      </c>
      <c r="D44" s="40">
        <f>SUM('sav.f. 3 '!G46+'sav.f. 3 '!G63)</f>
        <v>14994</v>
      </c>
      <c r="E44" s="40">
        <f>SUM('sav.f. 3 '!H46+'sav.f. 3 '!H63)</f>
        <v>0</v>
      </c>
      <c r="F44" s="40">
        <f>SUM('sav.f. 3 '!I46+'sav.f. 3 '!I63)</f>
        <v>0</v>
      </c>
    </row>
    <row r="45" spans="1:9" ht="14.25" customHeight="1" x14ac:dyDescent="0.25">
      <c r="A45" s="19" t="s">
        <v>136</v>
      </c>
      <c r="B45" s="3" t="s">
        <v>230</v>
      </c>
      <c r="C45" s="109">
        <f t="shared" si="0"/>
        <v>3795</v>
      </c>
      <c r="D45" s="40">
        <f>SUM('sav.f. 3 '!G47+'sav.f. 3 '!G64)</f>
        <v>3795</v>
      </c>
      <c r="E45" s="40">
        <f>SUM('sav.f. 3 '!H47+'sav.f. 3 '!H64)</f>
        <v>0</v>
      </c>
      <c r="F45" s="40">
        <f>SUM('sav.f. 3 '!I47+'sav.f. 3 '!I64)</f>
        <v>0</v>
      </c>
    </row>
    <row r="46" spans="1:9" ht="14.25" customHeight="1" x14ac:dyDescent="0.25">
      <c r="A46" s="19" t="s">
        <v>137</v>
      </c>
      <c r="B46" s="3" t="s">
        <v>231</v>
      </c>
      <c r="C46" s="109">
        <f t="shared" si="0"/>
        <v>8045</v>
      </c>
      <c r="D46" s="40">
        <f>SUM('sav.f. 3 '!G48+'sav.f. 3 '!G65)</f>
        <v>8045</v>
      </c>
      <c r="E46" s="40">
        <f>SUM('sav.f. 3 '!H48+'sav.f. 3 '!H65)</f>
        <v>0</v>
      </c>
      <c r="F46" s="40">
        <f>SUM('sav.f. 3 '!I48+'sav.f. 3 '!I65)</f>
        <v>0</v>
      </c>
    </row>
    <row r="47" spans="1:9" ht="14.25" customHeight="1" x14ac:dyDescent="0.25">
      <c r="A47" s="19" t="s">
        <v>138</v>
      </c>
      <c r="B47" s="3" t="s">
        <v>232</v>
      </c>
      <c r="C47" s="109">
        <f t="shared" si="0"/>
        <v>4798</v>
      </c>
      <c r="D47" s="40">
        <f>SUM('sav.f. 3 '!G49+'sav.f. 3 '!G66)</f>
        <v>4798</v>
      </c>
      <c r="E47" s="40">
        <f>SUM('sav.f. 3 '!H49+'sav.f. 3 '!H66)</f>
        <v>0</v>
      </c>
      <c r="F47" s="40">
        <f>SUM('sav.f. 3 '!I49+'sav.f. 3 '!I66)</f>
        <v>0</v>
      </c>
    </row>
    <row r="48" spans="1:9" ht="14.25" customHeight="1" x14ac:dyDescent="0.25">
      <c r="A48" s="19" t="s">
        <v>139</v>
      </c>
      <c r="B48" s="3" t="s">
        <v>233</v>
      </c>
      <c r="C48" s="109">
        <f t="shared" si="0"/>
        <v>4628</v>
      </c>
      <c r="D48" s="40">
        <f>SUM('sav.f. 3 '!G50+'sav.f. 3 '!G67)</f>
        <v>4628</v>
      </c>
      <c r="E48" s="40">
        <f>SUM('sav.f. 3 '!H50+'sav.f. 3 '!H67)</f>
        <v>0</v>
      </c>
      <c r="F48" s="40">
        <f>SUM('sav.f. 3 '!I50+'sav.f. 3 '!I67)</f>
        <v>0</v>
      </c>
    </row>
    <row r="49" spans="1:16" ht="14.25" customHeight="1" x14ac:dyDescent="0.25">
      <c r="A49" s="19" t="s">
        <v>140</v>
      </c>
      <c r="B49" s="3" t="s">
        <v>234</v>
      </c>
      <c r="C49" s="109">
        <f>SUM(D49,F49)</f>
        <v>72104</v>
      </c>
      <c r="D49" s="40">
        <f>SUM('sav.f. 3 '!G51+'sav.f. 3 '!G68)</f>
        <v>51638</v>
      </c>
      <c r="E49" s="40">
        <f>SUM('sav.f. 3 '!H51+'sav.f. 3 '!H68)</f>
        <v>0</v>
      </c>
      <c r="F49" s="40">
        <f>SUM('sav.f. 3 '!I51+'sav.f. 3 '!I68)</f>
        <v>20466</v>
      </c>
    </row>
    <row r="50" spans="1:16" ht="15.75" customHeight="1" x14ac:dyDescent="0.25">
      <c r="A50" s="19" t="s">
        <v>141</v>
      </c>
      <c r="B50" s="3" t="s">
        <v>327</v>
      </c>
      <c r="C50" s="109">
        <f t="shared" si="0"/>
        <v>825238</v>
      </c>
      <c r="D50" s="40">
        <f>SUM('sav.f. 3 '!G23)</f>
        <v>141084</v>
      </c>
      <c r="E50" s="40">
        <f>SUM('sav.f. 3 '!H23)</f>
        <v>0</v>
      </c>
      <c r="F50" s="40">
        <f>SUM('sav.f. 3 '!I23)</f>
        <v>684154</v>
      </c>
    </row>
    <row r="51" spans="1:16" ht="21.75" customHeight="1" x14ac:dyDescent="0.25">
      <c r="A51" s="19" t="s">
        <v>142</v>
      </c>
      <c r="B51" s="18" t="s">
        <v>193</v>
      </c>
      <c r="C51" s="127">
        <f>SUM(C15:C50)</f>
        <v>18518792</v>
      </c>
      <c r="D51" s="127">
        <f>SUM(D15:D50)</f>
        <v>15472480</v>
      </c>
      <c r="E51" s="110">
        <f>SUM(E15:E50)</f>
        <v>6204576</v>
      </c>
      <c r="F51" s="110">
        <f>SUM(F15:F50)</f>
        <v>3046312</v>
      </c>
    </row>
    <row r="52" spans="1:16" ht="13.5" customHeight="1" x14ac:dyDescent="0.2">
      <c r="A52" s="37"/>
      <c r="B52" s="37"/>
      <c r="C52" s="37"/>
      <c r="D52" s="37"/>
      <c r="E52" s="37"/>
      <c r="F52" s="37"/>
    </row>
    <row r="53" spans="1:16" ht="15" x14ac:dyDescent="0.2">
      <c r="A53" s="37"/>
      <c r="B53" s="37"/>
      <c r="C53" s="37"/>
      <c r="D53" s="37"/>
      <c r="E53" s="37"/>
      <c r="F53" s="37"/>
      <c r="N53" s="107"/>
      <c r="O53" s="107"/>
      <c r="P53" s="107"/>
    </row>
    <row r="54" spans="1:16" x14ac:dyDescent="0.2">
      <c r="N54" s="107"/>
      <c r="O54" s="107"/>
      <c r="P54" s="107"/>
    </row>
    <row r="55" spans="1:16" x14ac:dyDescent="0.2">
      <c r="N55" s="107"/>
      <c r="O55" s="107"/>
      <c r="P55" s="107"/>
    </row>
  </sheetData>
  <mergeCells count="14">
    <mergeCell ref="A8:F8"/>
    <mergeCell ref="B9:F9"/>
    <mergeCell ref="B10:F10"/>
    <mergeCell ref="C1:F1"/>
    <mergeCell ref="C2:F2"/>
    <mergeCell ref="C3:F3"/>
    <mergeCell ref="A11:A14"/>
    <mergeCell ref="B11:B14"/>
    <mergeCell ref="C11:C14"/>
    <mergeCell ref="D11:F11"/>
    <mergeCell ref="D12:E12"/>
    <mergeCell ref="F12:F14"/>
    <mergeCell ref="D13:D14"/>
    <mergeCell ref="E13:E14"/>
  </mergeCells>
  <phoneticPr fontId="8" type="noConversion"/>
  <pageMargins left="0.70866141732283472" right="0.70866141732283472" top="0.35433070866141736" bottom="0.15748031496062992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121"/>
  <sheetViews>
    <sheetView workbookViewId="0">
      <selection activeCell="G75" sqref="G75"/>
    </sheetView>
  </sheetViews>
  <sheetFormatPr defaultColWidth="9.140625" defaultRowHeight="15.75" x14ac:dyDescent="0.25"/>
  <cols>
    <col min="1" max="1" width="4.85546875" style="46" customWidth="1"/>
    <col min="2" max="2" width="5.42578125" style="46" customWidth="1"/>
    <col min="3" max="3" width="5.85546875" style="46" customWidth="1"/>
    <col min="4" max="4" width="28.5703125" style="46" customWidth="1"/>
    <col min="5" max="5" width="46.28515625" style="46" customWidth="1"/>
    <col min="6" max="6" width="11.140625" style="46" customWidth="1"/>
    <col min="7" max="7" width="11.85546875" style="46" customWidth="1"/>
    <col min="8" max="8" width="9.28515625" style="46" customWidth="1"/>
    <col min="9" max="9" width="12" style="46" customWidth="1"/>
    <col min="10" max="10" width="9.140625" style="46"/>
    <col min="11" max="11" width="11.140625" style="46" customWidth="1"/>
    <col min="12" max="13" width="9.140625" style="46"/>
    <col min="14" max="14" width="10.140625" style="46" bestFit="1" customWidth="1"/>
    <col min="15" max="16384" width="9.140625" style="46"/>
  </cols>
  <sheetData>
    <row r="1" spans="1:9" x14ac:dyDescent="0.25">
      <c r="E1" s="47"/>
      <c r="F1" s="33" t="s">
        <v>76</v>
      </c>
      <c r="G1" s="33"/>
      <c r="H1" s="33"/>
      <c r="I1" s="16"/>
    </row>
    <row r="2" spans="1:9" x14ac:dyDescent="0.25">
      <c r="E2" s="47"/>
      <c r="F2" s="208" t="s">
        <v>447</v>
      </c>
      <c r="G2" s="208"/>
      <c r="H2" s="208"/>
      <c r="I2" s="208"/>
    </row>
    <row r="3" spans="1:9" ht="17.25" customHeight="1" x14ac:dyDescent="0.25">
      <c r="E3" s="47"/>
      <c r="F3" s="33" t="s">
        <v>374</v>
      </c>
      <c r="G3" s="33"/>
      <c r="H3" s="33"/>
      <c r="I3" s="16"/>
    </row>
    <row r="4" spans="1:9" ht="12.75" hidden="1" customHeight="1" x14ac:dyDescent="0.25">
      <c r="E4" s="47"/>
      <c r="F4" s="47" t="s">
        <v>364</v>
      </c>
      <c r="G4" s="48"/>
      <c r="H4" s="48"/>
    </row>
    <row r="5" spans="1:9" ht="14.25" hidden="1" customHeight="1" x14ac:dyDescent="0.25">
      <c r="E5" s="47"/>
      <c r="F5" s="48" t="s">
        <v>326</v>
      </c>
      <c r="G5" s="48"/>
      <c r="H5" s="48"/>
    </row>
    <row r="6" spans="1:9" ht="14.25" customHeight="1" x14ac:dyDescent="0.25">
      <c r="E6" s="47"/>
      <c r="F6" s="201" t="s">
        <v>466</v>
      </c>
      <c r="G6" s="201"/>
      <c r="H6" s="34"/>
      <c r="I6" s="16"/>
    </row>
    <row r="7" spans="1:9" ht="15" customHeight="1" x14ac:dyDescent="0.25">
      <c r="E7" s="47"/>
      <c r="F7" s="1" t="s">
        <v>326</v>
      </c>
      <c r="G7" s="1"/>
      <c r="H7" s="1"/>
      <c r="I7" s="16"/>
    </row>
    <row r="8" spans="1:9" ht="16.5" customHeight="1" x14ac:dyDescent="0.25">
      <c r="D8" s="249" t="s">
        <v>413</v>
      </c>
      <c r="E8" s="249"/>
      <c r="F8" s="249"/>
      <c r="G8" s="249"/>
      <c r="H8" s="249"/>
      <c r="I8" s="249"/>
    </row>
    <row r="9" spans="1:9" ht="16.5" customHeight="1" x14ac:dyDescent="0.25">
      <c r="D9" s="250" t="s">
        <v>296</v>
      </c>
      <c r="E9" s="250"/>
      <c r="F9" s="250"/>
      <c r="G9" s="250"/>
      <c r="H9" s="250"/>
      <c r="I9" s="250"/>
    </row>
    <row r="10" spans="1:9" ht="13.5" customHeight="1" x14ac:dyDescent="0.25">
      <c r="D10" s="251" t="s">
        <v>402</v>
      </c>
      <c r="E10" s="251"/>
      <c r="F10" s="251"/>
      <c r="G10" s="251"/>
      <c r="H10" s="251"/>
      <c r="I10" s="251"/>
    </row>
    <row r="11" spans="1:9" ht="15" customHeight="1" x14ac:dyDescent="0.25">
      <c r="A11" s="245" t="s">
        <v>56</v>
      </c>
      <c r="B11" s="245" t="s">
        <v>145</v>
      </c>
      <c r="C11" s="245" t="s">
        <v>146</v>
      </c>
      <c r="D11" s="248" t="s">
        <v>220</v>
      </c>
      <c r="E11" s="248" t="s">
        <v>119</v>
      </c>
      <c r="F11" s="245" t="s">
        <v>329</v>
      </c>
      <c r="G11" s="248" t="s">
        <v>144</v>
      </c>
      <c r="H11" s="248"/>
      <c r="I11" s="248"/>
    </row>
    <row r="12" spans="1:9" ht="15" customHeight="1" x14ac:dyDescent="0.25">
      <c r="A12" s="246"/>
      <c r="B12" s="246"/>
      <c r="C12" s="246"/>
      <c r="D12" s="248"/>
      <c r="E12" s="248"/>
      <c r="F12" s="246"/>
      <c r="G12" s="248" t="s">
        <v>104</v>
      </c>
      <c r="H12" s="248"/>
      <c r="I12" s="245" t="s">
        <v>313</v>
      </c>
    </row>
    <row r="13" spans="1:9" ht="9.75" customHeight="1" x14ac:dyDescent="0.25">
      <c r="A13" s="246"/>
      <c r="B13" s="246"/>
      <c r="C13" s="246"/>
      <c r="D13" s="248"/>
      <c r="E13" s="248"/>
      <c r="F13" s="246"/>
      <c r="G13" s="248" t="s">
        <v>4</v>
      </c>
      <c r="H13" s="248" t="s">
        <v>105</v>
      </c>
      <c r="I13" s="246"/>
    </row>
    <row r="14" spans="1:9" ht="66" customHeight="1" x14ac:dyDescent="0.25">
      <c r="A14" s="247"/>
      <c r="B14" s="247"/>
      <c r="C14" s="247"/>
      <c r="D14" s="248"/>
      <c r="E14" s="248"/>
      <c r="F14" s="247"/>
      <c r="G14" s="248"/>
      <c r="H14" s="248"/>
      <c r="I14" s="247"/>
    </row>
    <row r="15" spans="1:9" ht="17.25" customHeight="1" x14ac:dyDescent="0.25">
      <c r="A15" s="38" t="s">
        <v>33</v>
      </c>
      <c r="B15" s="38" t="s">
        <v>121</v>
      </c>
      <c r="C15" s="38" t="s">
        <v>121</v>
      </c>
      <c r="D15" s="50" t="s">
        <v>8</v>
      </c>
      <c r="E15" s="43" t="s">
        <v>186</v>
      </c>
      <c r="F15" s="108">
        <f t="shared" ref="F15:F44" si="0">SUM(G15+I15)</f>
        <v>123330</v>
      </c>
      <c r="G15" s="40">
        <f>113330+10000</f>
        <v>123330</v>
      </c>
      <c r="H15" s="40">
        <v>66712</v>
      </c>
      <c r="I15" s="40"/>
    </row>
    <row r="16" spans="1:9" ht="17.25" customHeight="1" x14ac:dyDescent="0.25">
      <c r="A16" s="38" t="s">
        <v>57</v>
      </c>
      <c r="B16" s="38"/>
      <c r="C16" s="38"/>
      <c r="D16" s="51"/>
      <c r="E16" s="32" t="s">
        <v>338</v>
      </c>
      <c r="F16" s="108">
        <f t="shared" si="0"/>
        <v>8350</v>
      </c>
      <c r="G16" s="40">
        <v>8350</v>
      </c>
      <c r="H16" s="40"/>
      <c r="I16" s="40"/>
    </row>
    <row r="17" spans="1:9" ht="30.75" customHeight="1" x14ac:dyDescent="0.25">
      <c r="A17" s="157" t="s">
        <v>34</v>
      </c>
      <c r="B17" s="38" t="s">
        <v>121</v>
      </c>
      <c r="C17" s="38" t="s">
        <v>121</v>
      </c>
      <c r="D17" s="51" t="s">
        <v>187</v>
      </c>
      <c r="E17" s="32" t="s">
        <v>218</v>
      </c>
      <c r="F17" s="109">
        <f t="shared" si="0"/>
        <v>55114</v>
      </c>
      <c r="G17" s="40">
        <v>55114</v>
      </c>
      <c r="H17" s="40">
        <v>38210</v>
      </c>
      <c r="I17" s="40"/>
    </row>
    <row r="18" spans="1:9" ht="17.25" customHeight="1" x14ac:dyDescent="0.25">
      <c r="A18" s="157" t="s">
        <v>35</v>
      </c>
      <c r="B18" s="38" t="s">
        <v>121</v>
      </c>
      <c r="C18" s="38" t="s">
        <v>121</v>
      </c>
      <c r="D18" s="50" t="s">
        <v>8</v>
      </c>
      <c r="E18" s="43" t="s">
        <v>219</v>
      </c>
      <c r="F18" s="108">
        <f t="shared" si="0"/>
        <v>1554961</v>
      </c>
      <c r="G18" s="40">
        <f>1481682+7009-14872-580</f>
        <v>1473239</v>
      </c>
      <c r="H18" s="40">
        <v>808430</v>
      </c>
      <c r="I18" s="40">
        <v>81722</v>
      </c>
    </row>
    <row r="19" spans="1:9" ht="21.75" customHeight="1" x14ac:dyDescent="0.25">
      <c r="A19" s="169" t="s">
        <v>36</v>
      </c>
      <c r="B19" s="38" t="s">
        <v>121</v>
      </c>
      <c r="C19" s="38" t="s">
        <v>121</v>
      </c>
      <c r="D19" s="50" t="s">
        <v>8</v>
      </c>
      <c r="E19" s="52" t="s">
        <v>180</v>
      </c>
      <c r="F19" s="108">
        <f t="shared" si="0"/>
        <v>7087</v>
      </c>
      <c r="G19" s="40">
        <v>7087</v>
      </c>
      <c r="H19" s="40">
        <v>5410</v>
      </c>
      <c r="I19" s="40"/>
    </row>
    <row r="20" spans="1:9" ht="17.25" customHeight="1" x14ac:dyDescent="0.25">
      <c r="A20" s="157" t="s">
        <v>37</v>
      </c>
      <c r="B20" s="38" t="s">
        <v>121</v>
      </c>
      <c r="C20" s="38" t="s">
        <v>121</v>
      </c>
      <c r="D20" s="50" t="s">
        <v>8</v>
      </c>
      <c r="E20" s="43" t="s">
        <v>124</v>
      </c>
      <c r="F20" s="109">
        <f t="shared" si="0"/>
        <v>7207</v>
      </c>
      <c r="G20" s="40">
        <v>7207</v>
      </c>
      <c r="H20" s="40">
        <v>5500</v>
      </c>
      <c r="I20" s="40"/>
    </row>
    <row r="21" spans="1:9" ht="17.25" customHeight="1" x14ac:dyDescent="0.25">
      <c r="A21" s="157" t="s">
        <v>38</v>
      </c>
      <c r="B21" s="38" t="s">
        <v>121</v>
      </c>
      <c r="C21" s="38" t="s">
        <v>121</v>
      </c>
      <c r="D21" s="50" t="s">
        <v>8</v>
      </c>
      <c r="E21" s="53" t="s">
        <v>22</v>
      </c>
      <c r="F21" s="109">
        <f t="shared" si="0"/>
        <v>5800</v>
      </c>
      <c r="G21" s="112">
        <v>5800</v>
      </c>
      <c r="H21" s="112"/>
      <c r="I21" s="112"/>
    </row>
    <row r="22" spans="1:9" ht="17.25" customHeight="1" x14ac:dyDescent="0.25">
      <c r="A22" s="170" t="s">
        <v>39</v>
      </c>
      <c r="B22" s="38" t="s">
        <v>121</v>
      </c>
      <c r="C22" s="38" t="s">
        <v>121</v>
      </c>
      <c r="D22" s="50" t="s">
        <v>8</v>
      </c>
      <c r="E22" s="53" t="s">
        <v>24</v>
      </c>
      <c r="F22" s="109">
        <f t="shared" si="0"/>
        <v>126407</v>
      </c>
      <c r="G22" s="40">
        <f>130000-3593</f>
        <v>126407</v>
      </c>
      <c r="H22" s="40"/>
      <c r="I22" s="40"/>
    </row>
    <row r="23" spans="1:9" ht="30.75" customHeight="1" x14ac:dyDescent="0.25">
      <c r="A23" s="157" t="s">
        <v>40</v>
      </c>
      <c r="B23" s="38" t="s">
        <v>121</v>
      </c>
      <c r="C23" s="38" t="s">
        <v>121</v>
      </c>
      <c r="D23" s="54" t="s">
        <v>302</v>
      </c>
      <c r="E23" s="55" t="s">
        <v>370</v>
      </c>
      <c r="F23" s="109">
        <f t="shared" si="0"/>
        <v>825238</v>
      </c>
      <c r="G23" s="40">
        <v>141084</v>
      </c>
      <c r="H23" s="40"/>
      <c r="I23" s="40">
        <v>684154</v>
      </c>
    </row>
    <row r="24" spans="1:9" ht="17.25" customHeight="1" x14ac:dyDescent="0.25">
      <c r="A24" s="171" t="s">
        <v>41</v>
      </c>
      <c r="B24" s="56" t="s">
        <v>155</v>
      </c>
      <c r="C24" s="38" t="s">
        <v>121</v>
      </c>
      <c r="D24" s="50" t="s">
        <v>8</v>
      </c>
      <c r="E24" s="51" t="s">
        <v>70</v>
      </c>
      <c r="F24" s="109">
        <f t="shared" si="0"/>
        <v>3500</v>
      </c>
      <c r="G24" s="40">
        <v>3500</v>
      </c>
      <c r="H24" s="40"/>
      <c r="I24" s="40"/>
    </row>
    <row r="25" spans="1:9" ht="17.25" customHeight="1" x14ac:dyDescent="0.25">
      <c r="A25" s="171" t="s">
        <v>42</v>
      </c>
      <c r="B25" s="56" t="s">
        <v>155</v>
      </c>
      <c r="C25" s="38" t="s">
        <v>121</v>
      </c>
      <c r="D25" s="50" t="s">
        <v>8</v>
      </c>
      <c r="E25" s="51" t="s">
        <v>304</v>
      </c>
      <c r="F25" s="109">
        <f>SUM(G25+I25)</f>
        <v>2300</v>
      </c>
      <c r="G25" s="40">
        <v>2300</v>
      </c>
      <c r="H25" s="40"/>
      <c r="I25" s="40"/>
    </row>
    <row r="26" spans="1:9" ht="32.25" customHeight="1" x14ac:dyDescent="0.25">
      <c r="A26" s="171" t="s">
        <v>43</v>
      </c>
      <c r="B26" s="56" t="s">
        <v>155</v>
      </c>
      <c r="C26" s="57" t="s">
        <v>121</v>
      </c>
      <c r="D26" s="58" t="s">
        <v>8</v>
      </c>
      <c r="E26" s="59" t="s">
        <v>27</v>
      </c>
      <c r="F26" s="109">
        <f t="shared" si="0"/>
        <v>2500</v>
      </c>
      <c r="G26" s="122">
        <v>2500</v>
      </c>
      <c r="H26" s="122"/>
      <c r="I26" s="122"/>
    </row>
    <row r="27" spans="1:9" ht="15.75" customHeight="1" x14ac:dyDescent="0.25">
      <c r="A27" s="157" t="s">
        <v>44</v>
      </c>
      <c r="B27" s="56" t="s">
        <v>47</v>
      </c>
      <c r="C27" s="38" t="s">
        <v>121</v>
      </c>
      <c r="D27" s="50" t="s">
        <v>8</v>
      </c>
      <c r="E27" s="60" t="s">
        <v>341</v>
      </c>
      <c r="F27" s="108">
        <f t="shared" si="0"/>
        <v>2200</v>
      </c>
      <c r="G27" s="40">
        <v>2200</v>
      </c>
      <c r="H27" s="40"/>
      <c r="I27" s="40"/>
    </row>
    <row r="28" spans="1:9" ht="15.75" customHeight="1" x14ac:dyDescent="0.25">
      <c r="A28" s="157" t="s">
        <v>45</v>
      </c>
      <c r="B28" s="38" t="s">
        <v>152</v>
      </c>
      <c r="C28" s="38" t="s">
        <v>152</v>
      </c>
      <c r="D28" s="50" t="s">
        <v>8</v>
      </c>
      <c r="E28" s="50" t="s">
        <v>115</v>
      </c>
      <c r="F28" s="40">
        <f t="shared" si="0"/>
        <v>1000</v>
      </c>
      <c r="G28" s="40">
        <v>1000</v>
      </c>
      <c r="H28" s="40"/>
      <c r="I28" s="40"/>
    </row>
    <row r="29" spans="1:9" ht="15.75" customHeight="1" x14ac:dyDescent="0.25">
      <c r="A29" s="157" t="s">
        <v>46</v>
      </c>
      <c r="B29" s="56" t="s">
        <v>152</v>
      </c>
      <c r="C29" s="38" t="s">
        <v>152</v>
      </c>
      <c r="D29" s="50" t="s">
        <v>8</v>
      </c>
      <c r="E29" s="61" t="s">
        <v>195</v>
      </c>
      <c r="F29" s="40">
        <f t="shared" si="0"/>
        <v>26940</v>
      </c>
      <c r="G29" s="40">
        <v>18582</v>
      </c>
      <c r="H29" s="40"/>
      <c r="I29" s="40">
        <v>8358</v>
      </c>
    </row>
    <row r="30" spans="1:9" ht="15.75" customHeight="1" x14ac:dyDescent="0.25">
      <c r="A30" s="157" t="s">
        <v>47</v>
      </c>
      <c r="B30" s="167" t="s">
        <v>157</v>
      </c>
      <c r="C30" s="167" t="s">
        <v>152</v>
      </c>
      <c r="D30" s="50" t="s">
        <v>8</v>
      </c>
      <c r="E30" s="5" t="s">
        <v>433</v>
      </c>
      <c r="F30" s="40">
        <f>SUM(G30+I30)</f>
        <v>1450</v>
      </c>
      <c r="G30" s="40">
        <v>1450</v>
      </c>
      <c r="H30" s="40"/>
      <c r="I30" s="40"/>
    </row>
    <row r="31" spans="1:9" ht="15.75" customHeight="1" x14ac:dyDescent="0.25">
      <c r="A31" s="157" t="s">
        <v>48</v>
      </c>
      <c r="B31" s="75" t="s">
        <v>153</v>
      </c>
      <c r="C31" s="75" t="s">
        <v>156</v>
      </c>
      <c r="D31" s="58" t="s">
        <v>8</v>
      </c>
      <c r="E31" s="78" t="s">
        <v>203</v>
      </c>
      <c r="F31" s="40">
        <f>SUM(G31+I31)</f>
        <v>10513</v>
      </c>
      <c r="G31" s="40">
        <v>10513</v>
      </c>
      <c r="H31" s="40"/>
      <c r="I31" s="40"/>
    </row>
    <row r="32" spans="1:9" ht="15.75" customHeight="1" x14ac:dyDescent="0.25">
      <c r="A32" s="157" t="s">
        <v>49</v>
      </c>
      <c r="B32" s="167" t="s">
        <v>156</v>
      </c>
      <c r="C32" s="167" t="s">
        <v>156</v>
      </c>
      <c r="D32" s="50" t="s">
        <v>8</v>
      </c>
      <c r="E32" s="5" t="s">
        <v>67</v>
      </c>
      <c r="F32" s="40">
        <f t="shared" si="0"/>
        <v>58800</v>
      </c>
      <c r="G32" s="40">
        <v>58800</v>
      </c>
      <c r="H32" s="40"/>
      <c r="I32" s="40"/>
    </row>
    <row r="33" spans="1:9" ht="15.75" customHeight="1" x14ac:dyDescent="0.25">
      <c r="A33" s="157" t="s">
        <v>50</v>
      </c>
      <c r="B33" s="38" t="s">
        <v>156</v>
      </c>
      <c r="C33" s="38" t="s">
        <v>156</v>
      </c>
      <c r="D33" s="50" t="s">
        <v>8</v>
      </c>
      <c r="E33" s="5" t="s">
        <v>323</v>
      </c>
      <c r="F33" s="109">
        <f t="shared" si="0"/>
        <v>8700</v>
      </c>
      <c r="G33" s="40">
        <v>8700</v>
      </c>
      <c r="H33" s="40"/>
      <c r="I33" s="110"/>
    </row>
    <row r="34" spans="1:9" ht="15.75" customHeight="1" x14ac:dyDescent="0.25">
      <c r="A34" s="157" t="s">
        <v>51</v>
      </c>
      <c r="B34" s="38" t="s">
        <v>156</v>
      </c>
      <c r="C34" s="38" t="s">
        <v>156</v>
      </c>
      <c r="D34" s="50" t="s">
        <v>8</v>
      </c>
      <c r="E34" s="5" t="s">
        <v>23</v>
      </c>
      <c r="F34" s="109">
        <f t="shared" si="0"/>
        <v>75000</v>
      </c>
      <c r="G34" s="40">
        <v>75000</v>
      </c>
      <c r="H34" s="40"/>
      <c r="I34" s="110"/>
    </row>
    <row r="35" spans="1:9" ht="15.75" customHeight="1" x14ac:dyDescent="0.25">
      <c r="A35" s="157" t="s">
        <v>52</v>
      </c>
      <c r="B35" s="38" t="s">
        <v>160</v>
      </c>
      <c r="C35" s="38" t="s">
        <v>156</v>
      </c>
      <c r="D35" s="50" t="s">
        <v>8</v>
      </c>
      <c r="E35" s="53" t="s">
        <v>147</v>
      </c>
      <c r="F35" s="108">
        <f t="shared" si="0"/>
        <v>12000</v>
      </c>
      <c r="G35" s="40">
        <v>12000</v>
      </c>
      <c r="H35" s="40"/>
      <c r="I35" s="110"/>
    </row>
    <row r="36" spans="1:9" ht="15.75" customHeight="1" x14ac:dyDescent="0.25">
      <c r="A36" s="157" t="s">
        <v>53</v>
      </c>
      <c r="B36" s="38" t="s">
        <v>42</v>
      </c>
      <c r="C36" s="38" t="s">
        <v>156</v>
      </c>
      <c r="D36" s="50" t="s">
        <v>8</v>
      </c>
      <c r="E36" s="5" t="s">
        <v>17</v>
      </c>
      <c r="F36" s="109">
        <f t="shared" si="0"/>
        <v>1116029</v>
      </c>
      <c r="G36" s="40">
        <v>65000</v>
      </c>
      <c r="H36" s="40"/>
      <c r="I36" s="40">
        <f>840036+232493-21500</f>
        <v>1051029</v>
      </c>
    </row>
    <row r="37" spans="1:9" ht="14.25" customHeight="1" x14ac:dyDescent="0.25">
      <c r="A37" s="157" t="s">
        <v>54</v>
      </c>
      <c r="B37" s="38" t="s">
        <v>157</v>
      </c>
      <c r="C37" s="38" t="s">
        <v>160</v>
      </c>
      <c r="D37" s="50" t="s">
        <v>8</v>
      </c>
      <c r="E37" s="62" t="s">
        <v>109</v>
      </c>
      <c r="F37" s="109">
        <f t="shared" si="0"/>
        <v>626540</v>
      </c>
      <c r="G37" s="40">
        <f>639240-12700</f>
        <v>626540</v>
      </c>
      <c r="H37" s="40">
        <f>61290-9700</f>
        <v>51590</v>
      </c>
      <c r="I37" s="40"/>
    </row>
    <row r="38" spans="1:9" ht="14.25" customHeight="1" x14ac:dyDescent="0.25">
      <c r="A38" s="157" t="s">
        <v>454</v>
      </c>
      <c r="B38" s="38" t="s">
        <v>157</v>
      </c>
      <c r="C38" s="38" t="s">
        <v>160</v>
      </c>
      <c r="D38" s="50" t="s">
        <v>8</v>
      </c>
      <c r="E38" s="62" t="s">
        <v>368</v>
      </c>
      <c r="F38" s="109">
        <f t="shared" si="0"/>
        <v>542287</v>
      </c>
      <c r="G38" s="40">
        <v>542287</v>
      </c>
      <c r="H38" s="40"/>
      <c r="I38" s="40"/>
    </row>
    <row r="39" spans="1:9" ht="14.25" customHeight="1" x14ac:dyDescent="0.25">
      <c r="A39" s="157" t="s">
        <v>55</v>
      </c>
      <c r="B39" s="38" t="s">
        <v>157</v>
      </c>
      <c r="C39" s="38" t="s">
        <v>160</v>
      </c>
      <c r="D39" s="50" t="s">
        <v>223</v>
      </c>
      <c r="E39" s="62" t="s">
        <v>109</v>
      </c>
      <c r="F39" s="109">
        <f t="shared" si="0"/>
        <v>2440</v>
      </c>
      <c r="G39" s="40">
        <v>2440</v>
      </c>
      <c r="H39" s="40"/>
      <c r="I39" s="40"/>
    </row>
    <row r="40" spans="1:9" ht="14.25" customHeight="1" x14ac:dyDescent="0.25">
      <c r="A40" s="157" t="s">
        <v>65</v>
      </c>
      <c r="B40" s="38" t="s">
        <v>157</v>
      </c>
      <c r="C40" s="38" t="s">
        <v>160</v>
      </c>
      <c r="D40" s="50" t="s">
        <v>224</v>
      </c>
      <c r="E40" s="62" t="s">
        <v>109</v>
      </c>
      <c r="F40" s="109">
        <f t="shared" si="0"/>
        <v>5575</v>
      </c>
      <c r="G40" s="40">
        <v>5575</v>
      </c>
      <c r="H40" s="40"/>
      <c r="I40" s="40"/>
    </row>
    <row r="41" spans="1:9" ht="14.25" customHeight="1" x14ac:dyDescent="0.25">
      <c r="A41" s="157" t="s">
        <v>78</v>
      </c>
      <c r="B41" s="38" t="s">
        <v>157</v>
      </c>
      <c r="C41" s="38" t="s">
        <v>160</v>
      </c>
      <c r="D41" s="50" t="s">
        <v>225</v>
      </c>
      <c r="E41" s="62" t="s">
        <v>109</v>
      </c>
      <c r="F41" s="109">
        <f t="shared" si="0"/>
        <v>3415</v>
      </c>
      <c r="G41" s="40">
        <v>3415</v>
      </c>
      <c r="H41" s="40"/>
      <c r="I41" s="40"/>
    </row>
    <row r="42" spans="1:9" ht="14.25" customHeight="1" x14ac:dyDescent="0.25">
      <c r="A42" s="157" t="s">
        <v>114</v>
      </c>
      <c r="B42" s="38" t="s">
        <v>157</v>
      </c>
      <c r="C42" s="38" t="s">
        <v>160</v>
      </c>
      <c r="D42" s="50" t="s">
        <v>226</v>
      </c>
      <c r="E42" s="62" t="s">
        <v>109</v>
      </c>
      <c r="F42" s="109">
        <f t="shared" si="0"/>
        <v>3990</v>
      </c>
      <c r="G42" s="40">
        <f>3990-669</f>
        <v>3321</v>
      </c>
      <c r="H42" s="40"/>
      <c r="I42" s="40">
        <v>669</v>
      </c>
    </row>
    <row r="43" spans="1:9" ht="14.25" customHeight="1" x14ac:dyDescent="0.25">
      <c r="A43" s="157" t="s">
        <v>116</v>
      </c>
      <c r="B43" s="38" t="s">
        <v>157</v>
      </c>
      <c r="C43" s="38" t="s">
        <v>160</v>
      </c>
      <c r="D43" s="50" t="s">
        <v>237</v>
      </c>
      <c r="E43" s="62" t="s">
        <v>109</v>
      </c>
      <c r="F43" s="108">
        <f t="shared" si="0"/>
        <v>45344</v>
      </c>
      <c r="G43" s="40">
        <f>45344-2800-1638</f>
        <v>40906</v>
      </c>
      <c r="H43" s="40"/>
      <c r="I43" s="40">
        <f>2800+1638</f>
        <v>4438</v>
      </c>
    </row>
    <row r="44" spans="1:9" ht="14.25" customHeight="1" x14ac:dyDescent="0.25">
      <c r="A44" s="157" t="s">
        <v>239</v>
      </c>
      <c r="B44" s="38" t="s">
        <v>157</v>
      </c>
      <c r="C44" s="38" t="s">
        <v>160</v>
      </c>
      <c r="D44" s="50" t="s">
        <v>227</v>
      </c>
      <c r="E44" s="62" t="s">
        <v>109</v>
      </c>
      <c r="F44" s="109">
        <f t="shared" si="0"/>
        <v>6303</v>
      </c>
      <c r="G44" s="40">
        <f>5103+1200</f>
        <v>6303</v>
      </c>
      <c r="H44" s="40"/>
      <c r="I44" s="40"/>
    </row>
    <row r="45" spans="1:9" ht="14.25" customHeight="1" x14ac:dyDescent="0.25">
      <c r="A45" s="157" t="s">
        <v>133</v>
      </c>
      <c r="B45" s="38" t="s">
        <v>157</v>
      </c>
      <c r="C45" s="38" t="s">
        <v>160</v>
      </c>
      <c r="D45" s="50" t="s">
        <v>228</v>
      </c>
      <c r="E45" s="62" t="s">
        <v>109</v>
      </c>
      <c r="F45" s="109">
        <f t="shared" ref="F45:F72" si="1">SUM(G45+I45)</f>
        <v>3341</v>
      </c>
      <c r="G45" s="40">
        <v>3341</v>
      </c>
      <c r="H45" s="40"/>
      <c r="I45" s="40"/>
    </row>
    <row r="46" spans="1:9" ht="14.25" customHeight="1" x14ac:dyDescent="0.25">
      <c r="A46" s="157" t="s">
        <v>134</v>
      </c>
      <c r="B46" s="38" t="s">
        <v>157</v>
      </c>
      <c r="C46" s="38" t="s">
        <v>160</v>
      </c>
      <c r="D46" s="50" t="s">
        <v>229</v>
      </c>
      <c r="E46" s="62" t="s">
        <v>109</v>
      </c>
      <c r="F46" s="109">
        <f t="shared" si="1"/>
        <v>8778</v>
      </c>
      <c r="G46" s="40">
        <f>8628+150</f>
        <v>8778</v>
      </c>
      <c r="H46" s="40"/>
      <c r="I46" s="40"/>
    </row>
    <row r="47" spans="1:9" ht="14.25" customHeight="1" x14ac:dyDescent="0.25">
      <c r="A47" s="157" t="s">
        <v>135</v>
      </c>
      <c r="B47" s="38" t="s">
        <v>157</v>
      </c>
      <c r="C47" s="38" t="s">
        <v>160</v>
      </c>
      <c r="D47" s="50" t="s">
        <v>230</v>
      </c>
      <c r="E47" s="62" t="s">
        <v>109</v>
      </c>
      <c r="F47" s="109">
        <f t="shared" si="1"/>
        <v>3060</v>
      </c>
      <c r="G47" s="40">
        <v>3060</v>
      </c>
      <c r="H47" s="40"/>
      <c r="I47" s="40"/>
    </row>
    <row r="48" spans="1:9" ht="14.25" customHeight="1" x14ac:dyDescent="0.25">
      <c r="A48" s="157" t="s">
        <v>136</v>
      </c>
      <c r="B48" s="38" t="s">
        <v>157</v>
      </c>
      <c r="C48" s="38" t="s">
        <v>160</v>
      </c>
      <c r="D48" s="50" t="s">
        <v>231</v>
      </c>
      <c r="E48" s="62" t="s">
        <v>109</v>
      </c>
      <c r="F48" s="109">
        <f t="shared" si="1"/>
        <v>3570</v>
      </c>
      <c r="G48" s="40">
        <v>3570</v>
      </c>
      <c r="H48" s="40"/>
      <c r="I48" s="40"/>
    </row>
    <row r="49" spans="1:9" ht="14.25" customHeight="1" x14ac:dyDescent="0.25">
      <c r="A49" s="157" t="s">
        <v>137</v>
      </c>
      <c r="B49" s="38" t="s">
        <v>157</v>
      </c>
      <c r="C49" s="38" t="s">
        <v>160</v>
      </c>
      <c r="D49" s="50" t="s">
        <v>232</v>
      </c>
      <c r="E49" s="62" t="s">
        <v>109</v>
      </c>
      <c r="F49" s="109">
        <f t="shared" si="1"/>
        <v>3580</v>
      </c>
      <c r="G49" s="40">
        <v>3580</v>
      </c>
      <c r="H49" s="40"/>
      <c r="I49" s="40"/>
    </row>
    <row r="50" spans="1:9" ht="14.25" customHeight="1" x14ac:dyDescent="0.25">
      <c r="A50" s="157" t="s">
        <v>138</v>
      </c>
      <c r="B50" s="38" t="s">
        <v>157</v>
      </c>
      <c r="C50" s="38" t="s">
        <v>160</v>
      </c>
      <c r="D50" s="50" t="s">
        <v>233</v>
      </c>
      <c r="E50" s="62" t="s">
        <v>109</v>
      </c>
      <c r="F50" s="109">
        <f t="shared" si="1"/>
        <v>3084</v>
      </c>
      <c r="G50" s="40">
        <v>3084</v>
      </c>
      <c r="H50" s="40"/>
      <c r="I50" s="40"/>
    </row>
    <row r="51" spans="1:9" ht="14.25" customHeight="1" x14ac:dyDescent="0.25">
      <c r="A51" s="157" t="s">
        <v>139</v>
      </c>
      <c r="B51" s="38" t="s">
        <v>157</v>
      </c>
      <c r="C51" s="38" t="s">
        <v>160</v>
      </c>
      <c r="D51" s="50" t="s">
        <v>234</v>
      </c>
      <c r="E51" s="62" t="s">
        <v>109</v>
      </c>
      <c r="F51" s="109">
        <f>SUM(G51+I51)</f>
        <v>54353</v>
      </c>
      <c r="G51" s="40">
        <f>36975-2800-288</f>
        <v>33887</v>
      </c>
      <c r="H51" s="40"/>
      <c r="I51" s="40">
        <f>17378+2800+288</f>
        <v>20466</v>
      </c>
    </row>
    <row r="52" spans="1:9" ht="14.25" customHeight="1" x14ac:dyDescent="0.25">
      <c r="A52" s="157" t="s">
        <v>140</v>
      </c>
      <c r="B52" s="38" t="s">
        <v>43</v>
      </c>
      <c r="C52" s="38" t="s">
        <v>158</v>
      </c>
      <c r="D52" s="50" t="s">
        <v>8</v>
      </c>
      <c r="E52" s="63" t="s">
        <v>25</v>
      </c>
      <c r="F52" s="109">
        <f t="shared" si="1"/>
        <v>6000</v>
      </c>
      <c r="G52" s="40">
        <v>6000</v>
      </c>
      <c r="H52" s="40"/>
      <c r="I52" s="40"/>
    </row>
    <row r="53" spans="1:9" ht="15" customHeight="1" x14ac:dyDescent="0.25">
      <c r="A53" s="157" t="s">
        <v>141</v>
      </c>
      <c r="B53" s="157" t="s">
        <v>157</v>
      </c>
      <c r="C53" s="157" t="s">
        <v>158</v>
      </c>
      <c r="D53" s="158" t="s">
        <v>8</v>
      </c>
      <c r="E53" s="115" t="s">
        <v>16</v>
      </c>
      <c r="F53" s="109">
        <f t="shared" si="1"/>
        <v>9136</v>
      </c>
      <c r="G53" s="40"/>
      <c r="H53" s="40"/>
      <c r="I53" s="40">
        <v>9136</v>
      </c>
    </row>
    <row r="54" spans="1:9" ht="15.75" customHeight="1" x14ac:dyDescent="0.25">
      <c r="A54" s="157" t="s">
        <v>142</v>
      </c>
      <c r="B54" s="38" t="s">
        <v>157</v>
      </c>
      <c r="C54" s="38" t="s">
        <v>158</v>
      </c>
      <c r="D54" s="50" t="s">
        <v>8</v>
      </c>
      <c r="E54" s="62" t="s">
        <v>151</v>
      </c>
      <c r="F54" s="108">
        <f t="shared" si="1"/>
        <v>2900</v>
      </c>
      <c r="G54" s="40">
        <v>2900</v>
      </c>
      <c r="H54" s="40"/>
      <c r="I54" s="40"/>
    </row>
    <row r="55" spans="1:9" ht="15.75" customHeight="1" x14ac:dyDescent="0.25">
      <c r="A55" s="157" t="s">
        <v>170</v>
      </c>
      <c r="B55" s="38" t="s">
        <v>157</v>
      </c>
      <c r="C55" s="38" t="s">
        <v>158</v>
      </c>
      <c r="D55" s="50" t="s">
        <v>8</v>
      </c>
      <c r="E55" s="62" t="s">
        <v>5</v>
      </c>
      <c r="F55" s="109">
        <f t="shared" si="1"/>
        <v>35800</v>
      </c>
      <c r="G55" s="40">
        <v>5800</v>
      </c>
      <c r="H55" s="40"/>
      <c r="I55" s="40">
        <v>30000</v>
      </c>
    </row>
    <row r="56" spans="1:9" ht="15.75" customHeight="1" x14ac:dyDescent="0.25">
      <c r="A56" s="157" t="s">
        <v>171</v>
      </c>
      <c r="B56" s="38" t="s">
        <v>157</v>
      </c>
      <c r="C56" s="38" t="s">
        <v>158</v>
      </c>
      <c r="D56" s="50" t="s">
        <v>223</v>
      </c>
      <c r="E56" s="62" t="s">
        <v>5</v>
      </c>
      <c r="F56" s="109">
        <f t="shared" si="1"/>
        <v>1293</v>
      </c>
      <c r="G56" s="40">
        <v>1293</v>
      </c>
      <c r="H56" s="40"/>
      <c r="I56" s="40"/>
    </row>
    <row r="57" spans="1:9" ht="15.75" customHeight="1" x14ac:dyDescent="0.25">
      <c r="A57" s="157" t="s">
        <v>172</v>
      </c>
      <c r="B57" s="38" t="s">
        <v>157</v>
      </c>
      <c r="C57" s="38" t="s">
        <v>158</v>
      </c>
      <c r="D57" s="50" t="s">
        <v>224</v>
      </c>
      <c r="E57" s="62" t="s">
        <v>5</v>
      </c>
      <c r="F57" s="109">
        <f t="shared" si="1"/>
        <v>2619</v>
      </c>
      <c r="G57" s="40">
        <v>2619</v>
      </c>
      <c r="H57" s="40"/>
      <c r="I57" s="40"/>
    </row>
    <row r="58" spans="1:9" ht="15.75" customHeight="1" x14ac:dyDescent="0.25">
      <c r="A58" s="157" t="s">
        <v>173</v>
      </c>
      <c r="B58" s="38" t="s">
        <v>157</v>
      </c>
      <c r="C58" s="38" t="s">
        <v>158</v>
      </c>
      <c r="D58" s="50" t="s">
        <v>225</v>
      </c>
      <c r="E58" s="62" t="s">
        <v>5</v>
      </c>
      <c r="F58" s="109">
        <f t="shared" si="1"/>
        <v>4613</v>
      </c>
      <c r="G58" s="40">
        <v>4613</v>
      </c>
      <c r="H58" s="40"/>
      <c r="I58" s="40"/>
    </row>
    <row r="59" spans="1:9" ht="15.75" customHeight="1" x14ac:dyDescent="0.25">
      <c r="A59" s="157" t="s">
        <v>174</v>
      </c>
      <c r="B59" s="38" t="s">
        <v>157</v>
      </c>
      <c r="C59" s="38" t="s">
        <v>158</v>
      </c>
      <c r="D59" s="50" t="s">
        <v>226</v>
      </c>
      <c r="E59" s="63" t="s">
        <v>5</v>
      </c>
      <c r="F59" s="40">
        <f t="shared" si="1"/>
        <v>2097</v>
      </c>
      <c r="G59" s="40">
        <v>2097</v>
      </c>
      <c r="H59" s="40"/>
      <c r="I59" s="40"/>
    </row>
    <row r="60" spans="1:9" ht="14.25" customHeight="1" x14ac:dyDescent="0.25">
      <c r="A60" s="157" t="s">
        <v>240</v>
      </c>
      <c r="B60" s="38" t="s">
        <v>157</v>
      </c>
      <c r="C60" s="38" t="s">
        <v>158</v>
      </c>
      <c r="D60" s="50" t="s">
        <v>237</v>
      </c>
      <c r="E60" s="63" t="s">
        <v>5</v>
      </c>
      <c r="F60" s="40">
        <f t="shared" si="1"/>
        <v>37088</v>
      </c>
      <c r="G60" s="40">
        <v>37088</v>
      </c>
      <c r="H60" s="40"/>
      <c r="I60" s="40"/>
    </row>
    <row r="61" spans="1:9" ht="15.75" customHeight="1" x14ac:dyDescent="0.25">
      <c r="A61" s="157" t="s">
        <v>241</v>
      </c>
      <c r="B61" s="38" t="s">
        <v>157</v>
      </c>
      <c r="C61" s="38" t="s">
        <v>158</v>
      </c>
      <c r="D61" s="50" t="s">
        <v>227</v>
      </c>
      <c r="E61" s="62" t="s">
        <v>5</v>
      </c>
      <c r="F61" s="40">
        <f t="shared" si="1"/>
        <v>4519</v>
      </c>
      <c r="G61" s="40">
        <v>4519</v>
      </c>
      <c r="H61" s="40"/>
      <c r="I61" s="40"/>
    </row>
    <row r="62" spans="1:9" ht="15.75" customHeight="1" x14ac:dyDescent="0.25">
      <c r="A62" s="157" t="s">
        <v>242</v>
      </c>
      <c r="B62" s="38" t="s">
        <v>157</v>
      </c>
      <c r="C62" s="38" t="s">
        <v>158</v>
      </c>
      <c r="D62" s="50" t="s">
        <v>228</v>
      </c>
      <c r="E62" s="62" t="s">
        <v>5</v>
      </c>
      <c r="F62" s="108">
        <f t="shared" si="1"/>
        <v>1234</v>
      </c>
      <c r="G62" s="40">
        <v>1234</v>
      </c>
      <c r="H62" s="40"/>
      <c r="I62" s="40"/>
    </row>
    <row r="63" spans="1:9" ht="15.75" customHeight="1" x14ac:dyDescent="0.25">
      <c r="A63" s="157" t="s">
        <v>243</v>
      </c>
      <c r="B63" s="38" t="s">
        <v>157</v>
      </c>
      <c r="C63" s="38" t="s">
        <v>158</v>
      </c>
      <c r="D63" s="50" t="s">
        <v>229</v>
      </c>
      <c r="E63" s="62" t="s">
        <v>5</v>
      </c>
      <c r="F63" s="108">
        <f t="shared" si="1"/>
        <v>6216</v>
      </c>
      <c r="G63" s="40">
        <v>6216</v>
      </c>
      <c r="H63" s="40"/>
      <c r="I63" s="40"/>
    </row>
    <row r="64" spans="1:9" ht="15.75" customHeight="1" x14ac:dyDescent="0.25">
      <c r="A64" s="157" t="s">
        <v>244</v>
      </c>
      <c r="B64" s="38" t="s">
        <v>157</v>
      </c>
      <c r="C64" s="38" t="s">
        <v>158</v>
      </c>
      <c r="D64" s="50" t="s">
        <v>230</v>
      </c>
      <c r="E64" s="62" t="s">
        <v>5</v>
      </c>
      <c r="F64" s="108">
        <f t="shared" si="1"/>
        <v>735</v>
      </c>
      <c r="G64" s="40">
        <v>735</v>
      </c>
      <c r="H64" s="40"/>
      <c r="I64" s="40"/>
    </row>
    <row r="65" spans="1:9" ht="15.75" customHeight="1" x14ac:dyDescent="0.25">
      <c r="A65" s="157" t="s">
        <v>245</v>
      </c>
      <c r="B65" s="38" t="s">
        <v>157</v>
      </c>
      <c r="C65" s="38" t="s">
        <v>158</v>
      </c>
      <c r="D65" s="50" t="s">
        <v>231</v>
      </c>
      <c r="E65" s="62" t="s">
        <v>5</v>
      </c>
      <c r="F65" s="108">
        <f t="shared" si="1"/>
        <v>4475</v>
      </c>
      <c r="G65" s="40">
        <v>4475</v>
      </c>
      <c r="H65" s="40"/>
      <c r="I65" s="40"/>
    </row>
    <row r="66" spans="1:9" ht="15.75" customHeight="1" x14ac:dyDescent="0.25">
      <c r="A66" s="157" t="s">
        <v>246</v>
      </c>
      <c r="B66" s="38" t="s">
        <v>157</v>
      </c>
      <c r="C66" s="38" t="s">
        <v>158</v>
      </c>
      <c r="D66" s="50" t="s">
        <v>232</v>
      </c>
      <c r="E66" s="62" t="s">
        <v>5</v>
      </c>
      <c r="F66" s="109">
        <f t="shared" si="1"/>
        <v>1218</v>
      </c>
      <c r="G66" s="40">
        <v>1218</v>
      </c>
      <c r="H66" s="40"/>
      <c r="I66" s="40"/>
    </row>
    <row r="67" spans="1:9" ht="13.5" customHeight="1" x14ac:dyDescent="0.25">
      <c r="A67" s="157" t="s">
        <v>247</v>
      </c>
      <c r="B67" s="167" t="s">
        <v>157</v>
      </c>
      <c r="C67" s="167" t="s">
        <v>158</v>
      </c>
      <c r="D67" s="50" t="s">
        <v>233</v>
      </c>
      <c r="E67" s="63" t="s">
        <v>5</v>
      </c>
      <c r="F67" s="40">
        <f t="shared" si="1"/>
        <v>1544</v>
      </c>
      <c r="G67" s="40">
        <v>1544</v>
      </c>
      <c r="H67" s="40"/>
      <c r="I67" s="40"/>
    </row>
    <row r="68" spans="1:9" ht="13.5" customHeight="1" x14ac:dyDescent="0.25">
      <c r="A68" s="157" t="s">
        <v>248</v>
      </c>
      <c r="B68" s="38" t="s">
        <v>157</v>
      </c>
      <c r="C68" s="38" t="s">
        <v>158</v>
      </c>
      <c r="D68" s="50" t="s">
        <v>234</v>
      </c>
      <c r="E68" s="62" t="s">
        <v>5</v>
      </c>
      <c r="F68" s="40">
        <f t="shared" si="1"/>
        <v>17751</v>
      </c>
      <c r="G68" s="40">
        <v>17751</v>
      </c>
      <c r="H68" s="40"/>
      <c r="I68" s="40"/>
    </row>
    <row r="69" spans="1:9" ht="15.75" customHeight="1" x14ac:dyDescent="0.25">
      <c r="A69" s="157" t="s">
        <v>249</v>
      </c>
      <c r="B69" s="38" t="s">
        <v>157</v>
      </c>
      <c r="C69" s="38" t="s">
        <v>158</v>
      </c>
      <c r="D69" s="50" t="s">
        <v>8</v>
      </c>
      <c r="E69" s="62" t="s">
        <v>149</v>
      </c>
      <c r="F69" s="40">
        <f t="shared" si="1"/>
        <v>36000</v>
      </c>
      <c r="G69" s="40">
        <v>36000</v>
      </c>
      <c r="H69" s="40"/>
      <c r="I69" s="40"/>
    </row>
    <row r="70" spans="1:9" ht="17.25" customHeight="1" x14ac:dyDescent="0.25">
      <c r="A70" s="157" t="s">
        <v>250</v>
      </c>
      <c r="B70" s="38" t="s">
        <v>44</v>
      </c>
      <c r="C70" s="38" t="s">
        <v>153</v>
      </c>
      <c r="D70" s="50" t="s">
        <v>8</v>
      </c>
      <c r="E70" s="65" t="s">
        <v>68</v>
      </c>
      <c r="F70" s="40">
        <f t="shared" si="1"/>
        <v>15000</v>
      </c>
      <c r="G70" s="40">
        <f>5000+10000</f>
        <v>15000</v>
      </c>
      <c r="H70" s="40"/>
      <c r="I70" s="40"/>
    </row>
    <row r="71" spans="1:9" ht="15.75" customHeight="1" x14ac:dyDescent="0.25">
      <c r="A71" s="157" t="s">
        <v>251</v>
      </c>
      <c r="B71" s="38" t="s">
        <v>44</v>
      </c>
      <c r="C71" s="38" t="s">
        <v>153</v>
      </c>
      <c r="D71" s="50" t="s">
        <v>8</v>
      </c>
      <c r="E71" s="65" t="s">
        <v>28</v>
      </c>
      <c r="F71" s="40">
        <f t="shared" si="1"/>
        <v>4100</v>
      </c>
      <c r="G71" s="40">
        <v>4100</v>
      </c>
      <c r="H71" s="40"/>
      <c r="I71" s="40"/>
    </row>
    <row r="72" spans="1:9" ht="15.75" customHeight="1" x14ac:dyDescent="0.25">
      <c r="A72" s="157" t="s">
        <v>252</v>
      </c>
      <c r="B72" s="38" t="s">
        <v>44</v>
      </c>
      <c r="C72" s="38" t="s">
        <v>153</v>
      </c>
      <c r="D72" s="50" t="s">
        <v>8</v>
      </c>
      <c r="E72" s="62" t="s">
        <v>181</v>
      </c>
      <c r="F72" s="40">
        <f t="shared" si="1"/>
        <v>2900</v>
      </c>
      <c r="G72" s="40">
        <v>2900</v>
      </c>
      <c r="H72" s="40"/>
      <c r="I72" s="40"/>
    </row>
    <row r="73" spans="1:9" ht="15.75" customHeight="1" x14ac:dyDescent="0.25">
      <c r="A73" s="157" t="s">
        <v>253</v>
      </c>
      <c r="B73" s="38" t="s">
        <v>121</v>
      </c>
      <c r="C73" s="38" t="s">
        <v>153</v>
      </c>
      <c r="D73" s="50" t="s">
        <v>8</v>
      </c>
      <c r="E73" s="66" t="s">
        <v>14</v>
      </c>
      <c r="F73" s="109">
        <f t="shared" ref="F73:F99" si="2">SUM(G73+I73)</f>
        <v>12210</v>
      </c>
      <c r="G73" s="40">
        <v>12210</v>
      </c>
      <c r="H73" s="40">
        <v>9320</v>
      </c>
      <c r="I73" s="40"/>
    </row>
    <row r="74" spans="1:9" ht="15" customHeight="1" x14ac:dyDescent="0.25">
      <c r="A74" s="157" t="s">
        <v>254</v>
      </c>
      <c r="B74" s="38" t="s">
        <v>44</v>
      </c>
      <c r="C74" s="38" t="s">
        <v>153</v>
      </c>
      <c r="D74" s="62" t="s">
        <v>117</v>
      </c>
      <c r="E74" s="62" t="s">
        <v>15</v>
      </c>
      <c r="F74" s="109">
        <f t="shared" si="2"/>
        <v>13150</v>
      </c>
      <c r="G74" s="40">
        <f>12570+580</f>
        <v>13150</v>
      </c>
      <c r="H74" s="40">
        <v>9140</v>
      </c>
      <c r="I74" s="40"/>
    </row>
    <row r="75" spans="1:9" ht="15" customHeight="1" x14ac:dyDescent="0.25">
      <c r="A75" s="157" t="s">
        <v>255</v>
      </c>
      <c r="B75" s="38" t="s">
        <v>45</v>
      </c>
      <c r="C75" s="38" t="s">
        <v>157</v>
      </c>
      <c r="D75" s="50" t="s">
        <v>8</v>
      </c>
      <c r="E75" s="50" t="s">
        <v>150</v>
      </c>
      <c r="F75" s="109">
        <f t="shared" si="2"/>
        <v>343000</v>
      </c>
      <c r="G75" s="40">
        <v>343000</v>
      </c>
      <c r="H75" s="40"/>
      <c r="I75" s="40"/>
    </row>
    <row r="76" spans="1:9" ht="15" customHeight="1" x14ac:dyDescent="0.25">
      <c r="A76" s="157" t="s">
        <v>256</v>
      </c>
      <c r="B76" s="38" t="s">
        <v>45</v>
      </c>
      <c r="C76" s="146" t="s">
        <v>157</v>
      </c>
      <c r="D76" s="50" t="s">
        <v>8</v>
      </c>
      <c r="E76" s="60" t="s">
        <v>440</v>
      </c>
      <c r="F76" s="109">
        <f t="shared" si="2"/>
        <v>5000</v>
      </c>
      <c r="G76" s="40">
        <v>5000</v>
      </c>
      <c r="H76" s="40"/>
      <c r="I76" s="40"/>
    </row>
    <row r="77" spans="1:9" ht="15.75" customHeight="1" x14ac:dyDescent="0.25">
      <c r="A77" s="157" t="s">
        <v>257</v>
      </c>
      <c r="B77" s="38" t="s">
        <v>45</v>
      </c>
      <c r="C77" s="38" t="s">
        <v>157</v>
      </c>
      <c r="D77" s="58" t="s">
        <v>8</v>
      </c>
      <c r="E77" s="50" t="s">
        <v>441</v>
      </c>
      <c r="F77" s="109">
        <f t="shared" si="2"/>
        <v>18000</v>
      </c>
      <c r="G77" s="40">
        <f>8000+10000</f>
        <v>18000</v>
      </c>
      <c r="H77" s="40"/>
      <c r="I77" s="40"/>
    </row>
    <row r="78" spans="1:9" ht="15" customHeight="1" x14ac:dyDescent="0.25">
      <c r="A78" s="157" t="s">
        <v>258</v>
      </c>
      <c r="B78" s="38" t="s">
        <v>45</v>
      </c>
      <c r="C78" s="38" t="s">
        <v>157</v>
      </c>
      <c r="D78" s="5" t="s">
        <v>18</v>
      </c>
      <c r="E78" s="5" t="s">
        <v>166</v>
      </c>
      <c r="F78" s="40">
        <f t="shared" si="2"/>
        <v>382010</v>
      </c>
      <c r="G78" s="40">
        <v>382010</v>
      </c>
      <c r="H78" s="40">
        <v>247100</v>
      </c>
      <c r="I78" s="40"/>
    </row>
    <row r="79" spans="1:9" ht="15" customHeight="1" x14ac:dyDescent="0.25">
      <c r="A79" s="157" t="s">
        <v>259</v>
      </c>
      <c r="B79" s="38" t="s">
        <v>45</v>
      </c>
      <c r="C79" s="38" t="s">
        <v>157</v>
      </c>
      <c r="D79" s="65" t="s">
        <v>19</v>
      </c>
      <c r="E79" s="5" t="s">
        <v>6</v>
      </c>
      <c r="F79" s="109">
        <f t="shared" si="2"/>
        <v>75311</v>
      </c>
      <c r="G79" s="40">
        <v>75311</v>
      </c>
      <c r="H79" s="40">
        <v>47390</v>
      </c>
      <c r="I79" s="40"/>
    </row>
    <row r="80" spans="1:9" ht="15" customHeight="1" x14ac:dyDescent="0.25">
      <c r="A80" s="157" t="s">
        <v>260</v>
      </c>
      <c r="B80" s="38" t="s">
        <v>46</v>
      </c>
      <c r="C80" s="38" t="s">
        <v>157</v>
      </c>
      <c r="D80" s="50" t="s">
        <v>8</v>
      </c>
      <c r="E80" s="60" t="s">
        <v>373</v>
      </c>
      <c r="F80" s="40">
        <f t="shared" si="2"/>
        <v>35848</v>
      </c>
      <c r="G80" s="40">
        <f>33000+543+2305</f>
        <v>35848</v>
      </c>
      <c r="H80" s="40"/>
      <c r="I80" s="40"/>
    </row>
    <row r="81" spans="1:9" ht="15" customHeight="1" x14ac:dyDescent="0.25">
      <c r="A81" s="157" t="s">
        <v>261</v>
      </c>
      <c r="B81" s="38" t="s">
        <v>46</v>
      </c>
      <c r="C81" s="38" t="s">
        <v>157</v>
      </c>
      <c r="D81" s="50" t="s">
        <v>8</v>
      </c>
      <c r="E81" s="60" t="s">
        <v>320</v>
      </c>
      <c r="F81" s="40">
        <f t="shared" si="2"/>
        <v>19700</v>
      </c>
      <c r="G81" s="40">
        <v>19700</v>
      </c>
      <c r="H81" s="40"/>
      <c r="I81" s="40"/>
    </row>
    <row r="82" spans="1:9" ht="15" customHeight="1" x14ac:dyDescent="0.25">
      <c r="A82" s="157" t="s">
        <v>262</v>
      </c>
      <c r="B82" s="38" t="s">
        <v>46</v>
      </c>
      <c r="C82" s="38" t="s">
        <v>157</v>
      </c>
      <c r="D82" s="50" t="s">
        <v>8</v>
      </c>
      <c r="E82" s="5" t="s">
        <v>321</v>
      </c>
      <c r="F82" s="40">
        <f t="shared" si="2"/>
        <v>7500</v>
      </c>
      <c r="G82" s="40">
        <v>7500</v>
      </c>
      <c r="H82" s="40"/>
      <c r="I82" s="40"/>
    </row>
    <row r="83" spans="1:9" ht="30.75" customHeight="1" x14ac:dyDescent="0.25">
      <c r="A83" s="157" t="s">
        <v>263</v>
      </c>
      <c r="B83" s="38" t="s">
        <v>47</v>
      </c>
      <c r="C83" s="38" t="s">
        <v>154</v>
      </c>
      <c r="D83" s="67" t="s">
        <v>346</v>
      </c>
      <c r="E83" s="68" t="s">
        <v>176</v>
      </c>
      <c r="F83" s="109">
        <f t="shared" si="2"/>
        <v>248789</v>
      </c>
      <c r="G83" s="40">
        <v>248789</v>
      </c>
      <c r="H83" s="40">
        <v>148920</v>
      </c>
      <c r="I83" s="40"/>
    </row>
    <row r="84" spans="1:9" ht="30.75" customHeight="1" x14ac:dyDescent="0.25">
      <c r="A84" s="157" t="s">
        <v>264</v>
      </c>
      <c r="B84" s="38" t="s">
        <v>47</v>
      </c>
      <c r="C84" s="38" t="s">
        <v>154</v>
      </c>
      <c r="D84" s="50" t="s">
        <v>347</v>
      </c>
      <c r="E84" s="68" t="s">
        <v>176</v>
      </c>
      <c r="F84" s="109">
        <f t="shared" si="2"/>
        <v>211604</v>
      </c>
      <c r="G84" s="40">
        <v>211604</v>
      </c>
      <c r="H84" s="40">
        <v>123600</v>
      </c>
      <c r="I84" s="40"/>
    </row>
    <row r="85" spans="1:9" ht="24.75" customHeight="1" x14ac:dyDescent="0.25">
      <c r="A85" s="157" t="s">
        <v>265</v>
      </c>
      <c r="B85" s="38" t="s">
        <v>47</v>
      </c>
      <c r="C85" s="38" t="s">
        <v>154</v>
      </c>
      <c r="D85" s="50" t="s">
        <v>348</v>
      </c>
      <c r="E85" s="68" t="s">
        <v>177</v>
      </c>
      <c r="F85" s="109">
        <f t="shared" si="2"/>
        <v>37105</v>
      </c>
      <c r="G85" s="40">
        <v>37105</v>
      </c>
      <c r="H85" s="40">
        <v>22190</v>
      </c>
      <c r="I85" s="40"/>
    </row>
    <row r="86" spans="1:9" ht="33" customHeight="1" x14ac:dyDescent="0.25">
      <c r="A86" s="157" t="s">
        <v>314</v>
      </c>
      <c r="B86" s="38" t="s">
        <v>47</v>
      </c>
      <c r="C86" s="38" t="s">
        <v>154</v>
      </c>
      <c r="D86" s="50" t="s">
        <v>349</v>
      </c>
      <c r="E86" s="5" t="s">
        <v>177</v>
      </c>
      <c r="F86" s="40">
        <f t="shared" si="2"/>
        <v>104693</v>
      </c>
      <c r="G86" s="40">
        <v>104693</v>
      </c>
      <c r="H86" s="40">
        <v>62390</v>
      </c>
      <c r="I86" s="40"/>
    </row>
    <row r="87" spans="1:9" ht="17.25" customHeight="1" x14ac:dyDescent="0.25">
      <c r="A87" s="157" t="s">
        <v>266</v>
      </c>
      <c r="B87" s="38" t="s">
        <v>47</v>
      </c>
      <c r="C87" s="38" t="s">
        <v>154</v>
      </c>
      <c r="D87" s="50" t="s">
        <v>350</v>
      </c>
      <c r="E87" s="5" t="s">
        <v>399</v>
      </c>
      <c r="F87" s="40">
        <f t="shared" si="2"/>
        <v>59939</v>
      </c>
      <c r="G87" s="40">
        <v>59939</v>
      </c>
      <c r="H87" s="40">
        <v>33050</v>
      </c>
      <c r="I87" s="40"/>
    </row>
    <row r="88" spans="1:9" ht="15.75" customHeight="1" x14ac:dyDescent="0.25">
      <c r="A88" s="157" t="s">
        <v>267</v>
      </c>
      <c r="B88" s="38" t="s">
        <v>47</v>
      </c>
      <c r="C88" s="38" t="s">
        <v>154</v>
      </c>
      <c r="D88" s="50" t="s">
        <v>351</v>
      </c>
      <c r="E88" s="5" t="s">
        <v>399</v>
      </c>
      <c r="F88" s="40">
        <f t="shared" si="2"/>
        <v>37187</v>
      </c>
      <c r="G88" s="40">
        <v>37187</v>
      </c>
      <c r="H88" s="40">
        <v>22510</v>
      </c>
      <c r="I88" s="40"/>
    </row>
    <row r="89" spans="1:9" ht="31.5" customHeight="1" x14ac:dyDescent="0.25">
      <c r="A89" s="157" t="s">
        <v>268</v>
      </c>
      <c r="B89" s="38" t="s">
        <v>47</v>
      </c>
      <c r="C89" s="38" t="s">
        <v>154</v>
      </c>
      <c r="D89" s="50" t="s">
        <v>352</v>
      </c>
      <c r="E89" s="5" t="s">
        <v>399</v>
      </c>
      <c r="F89" s="40">
        <f t="shared" si="2"/>
        <v>84461</v>
      </c>
      <c r="G89" s="40">
        <f>81841+2620</f>
        <v>84461</v>
      </c>
      <c r="H89" s="40">
        <f>41800+2000</f>
        <v>43800</v>
      </c>
      <c r="I89" s="40"/>
    </row>
    <row r="90" spans="1:9" ht="15.75" customHeight="1" x14ac:dyDescent="0.25">
      <c r="A90" s="157" t="s">
        <v>269</v>
      </c>
      <c r="B90" s="38" t="s">
        <v>47</v>
      </c>
      <c r="C90" s="38" t="s">
        <v>154</v>
      </c>
      <c r="D90" s="69" t="s">
        <v>353</v>
      </c>
      <c r="E90" s="5" t="s">
        <v>399</v>
      </c>
      <c r="F90" s="108">
        <f t="shared" si="2"/>
        <v>102870</v>
      </c>
      <c r="G90" s="40">
        <v>102870</v>
      </c>
      <c r="H90" s="40">
        <v>55280</v>
      </c>
      <c r="I90" s="40"/>
    </row>
    <row r="91" spans="1:9" ht="15.75" customHeight="1" x14ac:dyDescent="0.25">
      <c r="A91" s="157" t="s">
        <v>270</v>
      </c>
      <c r="B91" s="38" t="s">
        <v>47</v>
      </c>
      <c r="C91" s="38" t="s">
        <v>154</v>
      </c>
      <c r="D91" s="69" t="s">
        <v>354</v>
      </c>
      <c r="E91" s="5" t="s">
        <v>399</v>
      </c>
      <c r="F91" s="108">
        <f t="shared" si="2"/>
        <v>59911</v>
      </c>
      <c r="G91" s="40">
        <v>59911</v>
      </c>
      <c r="H91" s="40">
        <v>34930</v>
      </c>
      <c r="I91" s="40"/>
    </row>
    <row r="92" spans="1:9" ht="15.75" customHeight="1" x14ac:dyDescent="0.25">
      <c r="A92" s="157" t="s">
        <v>271</v>
      </c>
      <c r="B92" s="38" t="s">
        <v>47</v>
      </c>
      <c r="C92" s="38" t="s">
        <v>154</v>
      </c>
      <c r="D92" s="50" t="s">
        <v>355</v>
      </c>
      <c r="E92" s="5" t="s">
        <v>399</v>
      </c>
      <c r="F92" s="108">
        <f t="shared" si="2"/>
        <v>38841</v>
      </c>
      <c r="G92" s="40">
        <v>38841</v>
      </c>
      <c r="H92" s="40">
        <v>19620</v>
      </c>
      <c r="I92" s="40"/>
    </row>
    <row r="93" spans="1:9" ht="15.75" customHeight="1" x14ac:dyDescent="0.25">
      <c r="A93" s="157" t="s">
        <v>272</v>
      </c>
      <c r="B93" s="38" t="s">
        <v>47</v>
      </c>
      <c r="C93" s="38" t="s">
        <v>154</v>
      </c>
      <c r="D93" s="5" t="s">
        <v>356</v>
      </c>
      <c r="E93" s="5" t="s">
        <v>399</v>
      </c>
      <c r="F93" s="108">
        <f t="shared" si="2"/>
        <v>94783</v>
      </c>
      <c r="G93" s="40">
        <v>94783</v>
      </c>
      <c r="H93" s="40">
        <v>54020</v>
      </c>
      <c r="I93" s="40"/>
    </row>
    <row r="94" spans="1:9" ht="15.75" customHeight="1" x14ac:dyDescent="0.25">
      <c r="A94" s="157" t="s">
        <v>273</v>
      </c>
      <c r="B94" s="38" t="s">
        <v>47</v>
      </c>
      <c r="C94" s="38" t="s">
        <v>154</v>
      </c>
      <c r="D94" s="5" t="s">
        <v>357</v>
      </c>
      <c r="E94" s="5" t="s">
        <v>399</v>
      </c>
      <c r="F94" s="109">
        <f t="shared" si="2"/>
        <v>136059</v>
      </c>
      <c r="G94" s="40">
        <v>136059</v>
      </c>
      <c r="H94" s="40">
        <v>64890</v>
      </c>
      <c r="I94" s="40"/>
    </row>
    <row r="95" spans="1:9" ht="15.75" customHeight="1" x14ac:dyDescent="0.25">
      <c r="A95" s="203" t="s">
        <v>274</v>
      </c>
      <c r="B95" s="167" t="s">
        <v>47</v>
      </c>
      <c r="C95" s="167" t="s">
        <v>154</v>
      </c>
      <c r="D95" s="5" t="s">
        <v>306</v>
      </c>
      <c r="E95" s="5" t="s">
        <v>399</v>
      </c>
      <c r="F95" s="40">
        <f t="shared" si="2"/>
        <v>203764</v>
      </c>
      <c r="G95" s="40">
        <v>203764</v>
      </c>
      <c r="H95" s="40">
        <v>107980</v>
      </c>
      <c r="I95" s="40"/>
    </row>
    <row r="96" spans="1:9" ht="30" customHeight="1" x14ac:dyDescent="0.25">
      <c r="A96" s="203" t="s">
        <v>275</v>
      </c>
      <c r="B96" s="167" t="s">
        <v>47</v>
      </c>
      <c r="C96" s="167" t="s">
        <v>154</v>
      </c>
      <c r="D96" s="50" t="s">
        <v>359</v>
      </c>
      <c r="E96" s="5" t="s">
        <v>399</v>
      </c>
      <c r="F96" s="40">
        <f t="shared" si="2"/>
        <v>186330</v>
      </c>
      <c r="G96" s="40">
        <v>186330</v>
      </c>
      <c r="H96" s="40">
        <v>96250</v>
      </c>
      <c r="I96" s="40"/>
    </row>
    <row r="97" spans="1:9" ht="33.75" customHeight="1" x14ac:dyDescent="0.25">
      <c r="A97" s="203" t="s">
        <v>276</v>
      </c>
      <c r="B97" s="38" t="s">
        <v>47</v>
      </c>
      <c r="C97" s="38" t="s">
        <v>154</v>
      </c>
      <c r="D97" s="50" t="s">
        <v>358</v>
      </c>
      <c r="E97" s="5" t="s">
        <v>399</v>
      </c>
      <c r="F97" s="109">
        <f t="shared" si="2"/>
        <v>240917</v>
      </c>
      <c r="G97" s="40">
        <v>240917</v>
      </c>
      <c r="H97" s="40">
        <v>118550</v>
      </c>
      <c r="I97" s="40"/>
    </row>
    <row r="98" spans="1:9" ht="14.25" customHeight="1" x14ac:dyDescent="0.25">
      <c r="A98" s="203" t="s">
        <v>277</v>
      </c>
      <c r="B98" s="38" t="s">
        <v>47</v>
      </c>
      <c r="C98" s="38" t="s">
        <v>154</v>
      </c>
      <c r="D98" s="69" t="s">
        <v>26</v>
      </c>
      <c r="E98" s="65" t="s">
        <v>417</v>
      </c>
      <c r="F98" s="109">
        <f t="shared" si="2"/>
        <v>291243</v>
      </c>
      <c r="G98" s="40">
        <f>289743+1500</f>
        <v>291243</v>
      </c>
      <c r="H98" s="40">
        <v>221210</v>
      </c>
      <c r="I98" s="40"/>
    </row>
    <row r="99" spans="1:9" ht="15" customHeight="1" x14ac:dyDescent="0.25">
      <c r="A99" s="203" t="s">
        <v>277</v>
      </c>
      <c r="B99" s="38" t="s">
        <v>45</v>
      </c>
      <c r="C99" s="38" t="s">
        <v>154</v>
      </c>
      <c r="D99" s="54" t="s">
        <v>8</v>
      </c>
      <c r="E99" s="63" t="s">
        <v>425</v>
      </c>
      <c r="F99" s="109">
        <f t="shared" si="2"/>
        <v>250394</v>
      </c>
      <c r="G99" s="40">
        <f>235794+12700+1900</f>
        <v>250394</v>
      </c>
      <c r="H99" s="40"/>
      <c r="I99" s="40"/>
    </row>
    <row r="100" spans="1:9" ht="15.75" customHeight="1" x14ac:dyDescent="0.25">
      <c r="A100" s="203" t="s">
        <v>278</v>
      </c>
      <c r="B100" s="38" t="s">
        <v>47</v>
      </c>
      <c r="C100" s="38" t="s">
        <v>154</v>
      </c>
      <c r="D100" s="54" t="s">
        <v>8</v>
      </c>
      <c r="E100" s="63" t="s">
        <v>69</v>
      </c>
      <c r="F100" s="109">
        <f t="shared" ref="F100:F119" si="3">SUM(G100+I100)</f>
        <v>43000</v>
      </c>
      <c r="G100" s="40">
        <v>43000</v>
      </c>
      <c r="H100" s="40"/>
      <c r="I100" s="40"/>
    </row>
    <row r="101" spans="1:9" ht="15.75" customHeight="1" x14ac:dyDescent="0.25">
      <c r="A101" s="203" t="s">
        <v>279</v>
      </c>
      <c r="B101" s="38" t="s">
        <v>47</v>
      </c>
      <c r="C101" s="38" t="s">
        <v>154</v>
      </c>
      <c r="D101" s="54" t="s">
        <v>8</v>
      </c>
      <c r="E101" s="70" t="s">
        <v>213</v>
      </c>
      <c r="F101" s="109">
        <f t="shared" si="3"/>
        <v>140000</v>
      </c>
      <c r="G101" s="40">
        <v>140000</v>
      </c>
      <c r="H101" s="40"/>
      <c r="I101" s="40"/>
    </row>
    <row r="102" spans="1:9" ht="14.25" customHeight="1" x14ac:dyDescent="0.25">
      <c r="A102" s="203" t="s">
        <v>280</v>
      </c>
      <c r="B102" s="38" t="s">
        <v>47</v>
      </c>
      <c r="C102" s="38" t="s">
        <v>154</v>
      </c>
      <c r="D102" s="54" t="s">
        <v>8</v>
      </c>
      <c r="E102" s="62" t="s">
        <v>110</v>
      </c>
      <c r="F102" s="109">
        <f t="shared" si="3"/>
        <v>4700</v>
      </c>
      <c r="G102" s="40">
        <v>4700</v>
      </c>
      <c r="H102" s="40"/>
      <c r="I102" s="40"/>
    </row>
    <row r="103" spans="1:9" ht="15.75" hidden="1" customHeight="1" x14ac:dyDescent="0.25">
      <c r="A103" s="203" t="s">
        <v>281</v>
      </c>
      <c r="B103" s="205" t="s">
        <v>47</v>
      </c>
      <c r="C103" s="205" t="s">
        <v>154</v>
      </c>
      <c r="D103" s="54" t="s">
        <v>8</v>
      </c>
      <c r="E103" s="58" t="s">
        <v>163</v>
      </c>
      <c r="F103" s="109">
        <f t="shared" si="3"/>
        <v>0</v>
      </c>
      <c r="G103" s="40"/>
      <c r="H103" s="40"/>
      <c r="I103" s="40"/>
    </row>
    <row r="104" spans="1:9" ht="15.75" customHeight="1" x14ac:dyDescent="0.25">
      <c r="A104" s="205" t="s">
        <v>281</v>
      </c>
      <c r="B104" s="205" t="s">
        <v>47</v>
      </c>
      <c r="C104" s="205" t="s">
        <v>154</v>
      </c>
      <c r="D104" s="54" t="s">
        <v>8</v>
      </c>
      <c r="E104" s="206" t="s">
        <v>464</v>
      </c>
      <c r="F104" s="109">
        <f t="shared" si="3"/>
        <v>28202</v>
      </c>
      <c r="G104" s="40">
        <f>30822-2620</f>
        <v>28202</v>
      </c>
      <c r="H104" s="40"/>
      <c r="I104" s="40"/>
    </row>
    <row r="105" spans="1:9" ht="15.75" customHeight="1" x14ac:dyDescent="0.25">
      <c r="A105" s="203" t="s">
        <v>282</v>
      </c>
      <c r="B105" s="38" t="s">
        <v>121</v>
      </c>
      <c r="C105" s="38" t="s">
        <v>154</v>
      </c>
      <c r="D105" s="54" t="s">
        <v>8</v>
      </c>
      <c r="E105" s="53" t="s">
        <v>182</v>
      </c>
      <c r="F105" s="109">
        <f t="shared" si="3"/>
        <v>93820</v>
      </c>
      <c r="G105" s="40">
        <v>93820</v>
      </c>
      <c r="H105" s="40">
        <v>65170</v>
      </c>
      <c r="I105" s="40"/>
    </row>
    <row r="106" spans="1:9" ht="29.25" customHeight="1" x14ac:dyDescent="0.25">
      <c r="A106" s="203" t="s">
        <v>283</v>
      </c>
      <c r="B106" s="38" t="s">
        <v>48</v>
      </c>
      <c r="C106" s="38" t="s">
        <v>42</v>
      </c>
      <c r="D106" s="58" t="s">
        <v>112</v>
      </c>
      <c r="E106" s="63" t="s">
        <v>159</v>
      </c>
      <c r="F106" s="40">
        <f t="shared" si="3"/>
        <v>87060</v>
      </c>
      <c r="G106" s="40">
        <f>86060-2000</f>
        <v>84060</v>
      </c>
      <c r="H106" s="40">
        <f>62250-1520</f>
        <v>60730</v>
      </c>
      <c r="I106" s="40">
        <v>3000</v>
      </c>
    </row>
    <row r="107" spans="1:9" ht="31.5" customHeight="1" x14ac:dyDescent="0.25">
      <c r="A107" s="203" t="s">
        <v>284</v>
      </c>
      <c r="B107" s="157" t="s">
        <v>46</v>
      </c>
      <c r="C107" s="157" t="s">
        <v>42</v>
      </c>
      <c r="D107" s="159" t="s">
        <v>8</v>
      </c>
      <c r="E107" s="160" t="s">
        <v>322</v>
      </c>
      <c r="F107" s="40">
        <f t="shared" si="3"/>
        <v>7500</v>
      </c>
      <c r="G107" s="40">
        <v>7500</v>
      </c>
      <c r="H107" s="110"/>
      <c r="I107" s="40"/>
    </row>
    <row r="108" spans="1:9" ht="16.5" customHeight="1" x14ac:dyDescent="0.25">
      <c r="A108" s="203" t="s">
        <v>285</v>
      </c>
      <c r="B108" s="71" t="s">
        <v>48</v>
      </c>
      <c r="C108" s="38" t="s">
        <v>42</v>
      </c>
      <c r="D108" s="72" t="s">
        <v>8</v>
      </c>
      <c r="E108" s="65" t="s">
        <v>162</v>
      </c>
      <c r="F108" s="109">
        <f t="shared" si="3"/>
        <v>95000</v>
      </c>
      <c r="G108" s="109">
        <v>95000</v>
      </c>
      <c r="H108" s="110"/>
      <c r="I108" s="40"/>
    </row>
    <row r="109" spans="1:9" ht="16.5" customHeight="1" x14ac:dyDescent="0.25">
      <c r="A109" s="203" t="s">
        <v>286</v>
      </c>
      <c r="B109" s="71" t="s">
        <v>48</v>
      </c>
      <c r="C109" s="149" t="s">
        <v>42</v>
      </c>
      <c r="D109" s="72" t="s">
        <v>8</v>
      </c>
      <c r="E109" s="65" t="s">
        <v>165</v>
      </c>
      <c r="F109" s="109">
        <f t="shared" si="3"/>
        <v>90000</v>
      </c>
      <c r="G109" s="109">
        <v>90000</v>
      </c>
      <c r="H109" s="110"/>
      <c r="I109" s="40"/>
    </row>
    <row r="110" spans="1:9" ht="16.5" customHeight="1" x14ac:dyDescent="0.25">
      <c r="A110" s="203" t="s">
        <v>287</v>
      </c>
      <c r="B110" s="71" t="s">
        <v>48</v>
      </c>
      <c r="C110" s="149" t="s">
        <v>42</v>
      </c>
      <c r="D110" s="72" t="s">
        <v>8</v>
      </c>
      <c r="E110" s="53" t="s">
        <v>169</v>
      </c>
      <c r="F110" s="109">
        <f t="shared" si="3"/>
        <v>31000</v>
      </c>
      <c r="G110" s="109">
        <v>31000</v>
      </c>
      <c r="H110" s="110"/>
      <c r="I110" s="40"/>
    </row>
    <row r="111" spans="1:9" ht="16.5" customHeight="1" x14ac:dyDescent="0.25">
      <c r="A111" s="203" t="s">
        <v>288</v>
      </c>
      <c r="B111" s="71" t="s">
        <v>48</v>
      </c>
      <c r="C111" s="149" t="s">
        <v>42</v>
      </c>
      <c r="D111" s="72" t="s">
        <v>8</v>
      </c>
      <c r="E111" s="65" t="s">
        <v>397</v>
      </c>
      <c r="F111" s="109">
        <f t="shared" si="3"/>
        <v>58000</v>
      </c>
      <c r="G111" s="109">
        <v>58000</v>
      </c>
      <c r="H111" s="110"/>
      <c r="I111" s="40"/>
    </row>
    <row r="112" spans="1:9" ht="16.5" customHeight="1" x14ac:dyDescent="0.25">
      <c r="A112" s="157" t="s">
        <v>289</v>
      </c>
      <c r="B112" s="71" t="s">
        <v>48</v>
      </c>
      <c r="C112" s="38" t="s">
        <v>42</v>
      </c>
      <c r="D112" s="72" t="s">
        <v>8</v>
      </c>
      <c r="E112" s="65" t="s">
        <v>20</v>
      </c>
      <c r="F112" s="109">
        <f t="shared" si="3"/>
        <v>13000</v>
      </c>
      <c r="G112" s="109">
        <v>13000</v>
      </c>
      <c r="H112" s="110"/>
      <c r="I112" s="40"/>
    </row>
    <row r="113" spans="1:9" ht="16.5" customHeight="1" x14ac:dyDescent="0.25">
      <c r="A113" s="203" t="s">
        <v>290</v>
      </c>
      <c r="B113" s="71" t="s">
        <v>48</v>
      </c>
      <c r="C113" s="38" t="s">
        <v>42</v>
      </c>
      <c r="D113" s="72" t="s">
        <v>8</v>
      </c>
      <c r="E113" s="70" t="s">
        <v>161</v>
      </c>
      <c r="F113" s="109">
        <f t="shared" si="3"/>
        <v>1433161</v>
      </c>
      <c r="G113" s="109">
        <f>1431109+2052</f>
        <v>1433161</v>
      </c>
      <c r="H113" s="110"/>
      <c r="I113" s="40"/>
    </row>
    <row r="114" spans="1:9" ht="16.5" customHeight="1" x14ac:dyDescent="0.25">
      <c r="A114" s="203" t="s">
        <v>291</v>
      </c>
      <c r="B114" s="71" t="s">
        <v>48</v>
      </c>
      <c r="C114" s="193" t="s">
        <v>42</v>
      </c>
      <c r="D114" s="72" t="s">
        <v>8</v>
      </c>
      <c r="E114" s="70" t="s">
        <v>431</v>
      </c>
      <c r="F114" s="109">
        <f t="shared" si="3"/>
        <v>110000</v>
      </c>
      <c r="G114" s="109">
        <v>110000</v>
      </c>
      <c r="H114" s="110"/>
      <c r="I114" s="40"/>
    </row>
    <row r="115" spans="1:9" ht="16.5" customHeight="1" x14ac:dyDescent="0.25">
      <c r="A115" s="203" t="s">
        <v>292</v>
      </c>
      <c r="B115" s="38" t="s">
        <v>48</v>
      </c>
      <c r="C115" s="38" t="s">
        <v>42</v>
      </c>
      <c r="D115" s="72" t="s">
        <v>8</v>
      </c>
      <c r="E115" s="65" t="s">
        <v>113</v>
      </c>
      <c r="F115" s="109">
        <f t="shared" si="3"/>
        <v>1500</v>
      </c>
      <c r="G115" s="40">
        <v>1500</v>
      </c>
      <c r="H115" s="40"/>
      <c r="I115" s="40"/>
    </row>
    <row r="116" spans="1:9" ht="16.5" customHeight="1" x14ac:dyDescent="0.25">
      <c r="A116" s="203" t="s">
        <v>293</v>
      </c>
      <c r="B116" s="38">
        <v>16</v>
      </c>
      <c r="C116" s="38" t="s">
        <v>42</v>
      </c>
      <c r="D116" s="72" t="s">
        <v>8</v>
      </c>
      <c r="E116" s="155" t="s">
        <v>395</v>
      </c>
      <c r="F116" s="109">
        <f t="shared" si="3"/>
        <v>8000</v>
      </c>
      <c r="G116" s="40">
        <v>8000</v>
      </c>
      <c r="H116" s="40"/>
      <c r="I116" s="40"/>
    </row>
    <row r="117" spans="1:9" ht="16.5" customHeight="1" x14ac:dyDescent="0.25">
      <c r="A117" s="203" t="s">
        <v>294</v>
      </c>
      <c r="B117" s="71" t="s">
        <v>48</v>
      </c>
      <c r="C117" s="38" t="s">
        <v>42</v>
      </c>
      <c r="D117" s="72" t="s">
        <v>8</v>
      </c>
      <c r="E117" s="54" t="s">
        <v>301</v>
      </c>
      <c r="F117" s="109">
        <f t="shared" si="3"/>
        <v>5000</v>
      </c>
      <c r="G117" s="109">
        <v>5000</v>
      </c>
      <c r="H117" s="110"/>
      <c r="I117" s="40"/>
    </row>
    <row r="118" spans="1:9" ht="16.5" customHeight="1" x14ac:dyDescent="0.25">
      <c r="A118" s="203" t="s">
        <v>295</v>
      </c>
      <c r="B118" s="71" t="s">
        <v>121</v>
      </c>
      <c r="C118" s="146">
        <v>10</v>
      </c>
      <c r="D118" s="72" t="s">
        <v>8</v>
      </c>
      <c r="E118" s="54" t="s">
        <v>390</v>
      </c>
      <c r="F118" s="109">
        <f t="shared" si="3"/>
        <v>111200</v>
      </c>
      <c r="G118" s="109">
        <v>111200</v>
      </c>
      <c r="H118" s="40">
        <v>63210</v>
      </c>
      <c r="I118" s="40"/>
    </row>
    <row r="119" spans="1:9" ht="16.5" customHeight="1" x14ac:dyDescent="0.25">
      <c r="A119" s="203" t="s">
        <v>432</v>
      </c>
      <c r="B119" s="164" t="s">
        <v>43</v>
      </c>
      <c r="C119" s="157" t="s">
        <v>42</v>
      </c>
      <c r="D119" s="165" t="s">
        <v>8</v>
      </c>
      <c r="E119" s="166" t="s">
        <v>307</v>
      </c>
      <c r="F119" s="109">
        <f t="shared" si="3"/>
        <v>742</v>
      </c>
      <c r="G119" s="40">
        <f>375+367</f>
        <v>742</v>
      </c>
      <c r="H119" s="110"/>
      <c r="I119" s="40"/>
    </row>
    <row r="120" spans="1:9" ht="15.75" customHeight="1" x14ac:dyDescent="0.25">
      <c r="A120" s="190" t="s">
        <v>455</v>
      </c>
      <c r="B120" s="38"/>
      <c r="C120" s="5"/>
      <c r="D120" s="252" t="s">
        <v>143</v>
      </c>
      <c r="E120" s="252"/>
      <c r="F120" s="110">
        <f>SUM(F15,F17:F23,F24:F30,F32:F37,F39:F119,F31)</f>
        <v>10658191</v>
      </c>
      <c r="G120" s="110">
        <f>SUM(G15,G17:G23,G24:G30,G32:G37,G39:G119,G31)</f>
        <v>8765219</v>
      </c>
      <c r="H120" s="110">
        <f>SUM(H15,H17:H23,H24:H30,H32:H37,H39:H119)</f>
        <v>2707102</v>
      </c>
      <c r="I120" s="110">
        <f>SUM(I15,I17:I23,I24:I30,I32:I37,I39:I119)</f>
        <v>1892972</v>
      </c>
    </row>
    <row r="121" spans="1:9" x14ac:dyDescent="0.25">
      <c r="D121" s="73"/>
    </row>
  </sheetData>
  <mergeCells count="16">
    <mergeCell ref="D120:E120"/>
    <mergeCell ref="G12:H12"/>
    <mergeCell ref="I12:I14"/>
    <mergeCell ref="G13:G14"/>
    <mergeCell ref="H13:H14"/>
    <mergeCell ref="E11:E14"/>
    <mergeCell ref="F11:F14"/>
    <mergeCell ref="G11:I11"/>
    <mergeCell ref="A11:A14"/>
    <mergeCell ref="B11:B14"/>
    <mergeCell ref="C11:C14"/>
    <mergeCell ref="D11:D14"/>
    <mergeCell ref="F2:I2"/>
    <mergeCell ref="D8:I8"/>
    <mergeCell ref="D9:I9"/>
    <mergeCell ref="D10:I10"/>
  </mergeCells>
  <phoneticPr fontId="0" type="noConversion"/>
  <pageMargins left="0" right="0" top="0.78740157480314965" bottom="0" header="0.51181102362204722" footer="0.51181102362204722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63"/>
  <sheetViews>
    <sheetView zoomScale="85" zoomScaleNormal="85" workbookViewId="0">
      <selection activeCell="D19" sqref="D19"/>
    </sheetView>
  </sheetViews>
  <sheetFormatPr defaultColWidth="9.140625" defaultRowHeight="16.5" x14ac:dyDescent="0.25"/>
  <cols>
    <col min="1" max="1" width="5.5703125" style="48" customWidth="1"/>
    <col min="2" max="2" width="5.7109375" style="48" customWidth="1"/>
    <col min="3" max="3" width="6.140625" style="48" customWidth="1"/>
    <col min="4" max="4" width="28.7109375" style="48" customWidth="1"/>
    <col min="5" max="5" width="50.7109375" style="48" customWidth="1"/>
    <col min="6" max="6" width="10.28515625" style="48" customWidth="1"/>
    <col min="7" max="7" width="10.42578125" style="48" customWidth="1"/>
    <col min="8" max="8" width="10" style="48" customWidth="1"/>
    <col min="9" max="9" width="9.5703125" style="48" customWidth="1"/>
    <col min="10" max="10" width="9.140625" style="48"/>
    <col min="11" max="11" width="11.5703125" style="48" bestFit="1" customWidth="1"/>
    <col min="12" max="12" width="9.140625" style="48"/>
    <col min="13" max="13" width="11.5703125" style="48" bestFit="1" customWidth="1"/>
    <col min="14" max="16384" width="9.140625" style="48"/>
  </cols>
  <sheetData>
    <row r="1" spans="1:9" x14ac:dyDescent="0.25">
      <c r="E1" s="253" t="s">
        <v>450</v>
      </c>
      <c r="F1" s="253"/>
      <c r="G1" s="253"/>
      <c r="H1" s="253"/>
    </row>
    <row r="2" spans="1:9" x14ac:dyDescent="0.25">
      <c r="E2" s="84" t="s">
        <v>449</v>
      </c>
      <c r="F2" s="84"/>
      <c r="G2" s="84"/>
      <c r="H2" s="84"/>
    </row>
    <row r="3" spans="1:9" ht="13.5" customHeight="1" x14ac:dyDescent="0.25">
      <c r="E3" s="254" t="s">
        <v>312</v>
      </c>
      <c r="F3" s="254"/>
      <c r="G3" s="254"/>
      <c r="H3" s="254"/>
    </row>
    <row r="4" spans="1:9" ht="13.5" customHeight="1" x14ac:dyDescent="0.25">
      <c r="E4" s="256" t="s">
        <v>452</v>
      </c>
      <c r="F4" s="256"/>
      <c r="G4" s="256"/>
      <c r="H4" s="256"/>
      <c r="I4" s="256"/>
    </row>
    <row r="5" spans="1:9" ht="13.5" customHeight="1" x14ac:dyDescent="0.25">
      <c r="E5" s="1" t="s">
        <v>453</v>
      </c>
      <c r="F5" s="1"/>
      <c r="G5" s="1"/>
      <c r="H5" s="16"/>
    </row>
    <row r="6" spans="1:9" ht="16.5" customHeight="1" x14ac:dyDescent="0.25">
      <c r="C6" s="49" t="s">
        <v>408</v>
      </c>
      <c r="D6" s="49"/>
      <c r="E6" s="49"/>
      <c r="F6" s="49"/>
      <c r="G6" s="49"/>
      <c r="H6" s="49"/>
      <c r="I6" s="49"/>
    </row>
    <row r="7" spans="1:9" ht="15" customHeight="1" x14ac:dyDescent="0.25">
      <c r="A7" s="255" t="s">
        <v>362</v>
      </c>
      <c r="B7" s="255"/>
      <c r="C7" s="255"/>
      <c r="D7" s="255"/>
      <c r="E7" s="255"/>
      <c r="F7" s="255"/>
      <c r="G7" s="255"/>
      <c r="H7" s="255"/>
      <c r="I7" s="255"/>
    </row>
    <row r="8" spans="1:9" ht="15" customHeight="1" x14ac:dyDescent="0.25">
      <c r="A8" s="255" t="s">
        <v>458</v>
      </c>
      <c r="B8" s="255"/>
      <c r="C8" s="255"/>
      <c r="D8" s="255"/>
      <c r="E8" s="255"/>
      <c r="F8" s="255"/>
      <c r="G8" s="255"/>
      <c r="H8" s="255"/>
      <c r="I8" s="255"/>
    </row>
    <row r="9" spans="1:9" ht="15" customHeight="1" x14ac:dyDescent="0.25">
      <c r="A9" s="255" t="s">
        <v>459</v>
      </c>
      <c r="B9" s="255"/>
      <c r="C9" s="255"/>
      <c r="D9" s="255"/>
      <c r="E9" s="255"/>
      <c r="F9" s="255"/>
      <c r="G9" s="255"/>
      <c r="H9" s="255"/>
      <c r="I9" s="255"/>
    </row>
    <row r="10" spans="1:9" ht="14.25" customHeight="1" x14ac:dyDescent="0.25">
      <c r="A10" s="74"/>
      <c r="B10" s="74"/>
      <c r="C10" s="74"/>
      <c r="D10" s="259" t="s">
        <v>436</v>
      </c>
      <c r="E10" s="259"/>
      <c r="F10" s="259"/>
      <c r="G10" s="259"/>
      <c r="H10" s="259"/>
      <c r="I10" s="259"/>
    </row>
    <row r="11" spans="1:9" ht="6" hidden="1" customHeight="1" x14ac:dyDescent="0.25">
      <c r="A11" s="248" t="s">
        <v>56</v>
      </c>
      <c r="B11" s="248" t="s">
        <v>168</v>
      </c>
      <c r="C11" s="248" t="s">
        <v>167</v>
      </c>
      <c r="D11" s="248" t="s">
        <v>220</v>
      </c>
      <c r="E11" s="248" t="s">
        <v>119</v>
      </c>
      <c r="F11" s="245" t="s">
        <v>120</v>
      </c>
      <c r="G11" s="248"/>
      <c r="H11" s="248"/>
      <c r="I11" s="248"/>
    </row>
    <row r="12" spans="1:9" ht="18" customHeight="1" x14ac:dyDescent="0.25">
      <c r="A12" s="248"/>
      <c r="B12" s="248"/>
      <c r="C12" s="248"/>
      <c r="D12" s="248"/>
      <c r="E12" s="248"/>
      <c r="F12" s="246"/>
      <c r="G12" s="248" t="s">
        <v>104</v>
      </c>
      <c r="H12" s="248"/>
      <c r="I12" s="245" t="s">
        <v>369</v>
      </c>
    </row>
    <row r="13" spans="1:9" ht="12.75" customHeight="1" x14ac:dyDescent="0.25">
      <c r="A13" s="248"/>
      <c r="B13" s="248"/>
      <c r="C13" s="248"/>
      <c r="D13" s="248"/>
      <c r="E13" s="248"/>
      <c r="F13" s="246"/>
      <c r="G13" s="248" t="s">
        <v>4</v>
      </c>
      <c r="H13" s="248" t="s">
        <v>105</v>
      </c>
      <c r="I13" s="246"/>
    </row>
    <row r="14" spans="1:9" ht="57.75" customHeight="1" x14ac:dyDescent="0.25">
      <c r="A14" s="248"/>
      <c r="B14" s="248"/>
      <c r="C14" s="248"/>
      <c r="D14" s="248"/>
      <c r="E14" s="248"/>
      <c r="F14" s="247"/>
      <c r="G14" s="248"/>
      <c r="H14" s="248"/>
      <c r="I14" s="247"/>
    </row>
    <row r="15" spans="1:9" ht="17.25" customHeight="1" x14ac:dyDescent="0.25">
      <c r="A15" s="75" t="s">
        <v>33</v>
      </c>
      <c r="B15" s="75" t="s">
        <v>121</v>
      </c>
      <c r="C15" s="75" t="s">
        <v>121</v>
      </c>
      <c r="D15" s="50" t="s">
        <v>8</v>
      </c>
      <c r="E15" s="43" t="s">
        <v>122</v>
      </c>
      <c r="F15" s="32">
        <f t="shared" ref="F15:F62" si="0">SUM(G15+I15)</f>
        <v>347</v>
      </c>
      <c r="G15" s="5">
        <v>347</v>
      </c>
      <c r="H15" s="5">
        <v>265</v>
      </c>
      <c r="I15" s="5"/>
    </row>
    <row r="16" spans="1:9" ht="17.25" customHeight="1" x14ac:dyDescent="0.25">
      <c r="A16" s="75" t="s">
        <v>34</v>
      </c>
      <c r="B16" s="75" t="s">
        <v>121</v>
      </c>
      <c r="C16" s="75" t="s">
        <v>121</v>
      </c>
      <c r="D16" s="50" t="s">
        <v>8</v>
      </c>
      <c r="E16" s="43" t="s">
        <v>216</v>
      </c>
      <c r="F16" s="32">
        <f t="shared" si="0"/>
        <v>579</v>
      </c>
      <c r="G16" s="5">
        <v>579</v>
      </c>
      <c r="H16" s="5">
        <v>443</v>
      </c>
      <c r="I16" s="5"/>
    </row>
    <row r="17" spans="1:9" ht="17.25" customHeight="1" x14ac:dyDescent="0.25">
      <c r="A17" s="75" t="s">
        <v>35</v>
      </c>
      <c r="B17" s="75" t="s">
        <v>121</v>
      </c>
      <c r="C17" s="75" t="s">
        <v>121</v>
      </c>
      <c r="D17" s="50" t="s">
        <v>8</v>
      </c>
      <c r="E17" s="43" t="s">
        <v>123</v>
      </c>
      <c r="F17" s="109">
        <f t="shared" si="0"/>
        <v>11727</v>
      </c>
      <c r="G17" s="5">
        <v>11727</v>
      </c>
      <c r="H17" s="5">
        <v>7418</v>
      </c>
      <c r="I17" s="5"/>
    </row>
    <row r="18" spans="1:9" ht="17.25" customHeight="1" x14ac:dyDescent="0.25">
      <c r="A18" s="75" t="s">
        <v>36</v>
      </c>
      <c r="B18" s="75" t="s">
        <v>121</v>
      </c>
      <c r="C18" s="75" t="s">
        <v>121</v>
      </c>
      <c r="D18" s="50" t="s">
        <v>8</v>
      </c>
      <c r="E18" s="43" t="s">
        <v>339</v>
      </c>
      <c r="F18" s="109">
        <f t="shared" si="0"/>
        <v>47209</v>
      </c>
      <c r="G18" s="5">
        <v>47209</v>
      </c>
      <c r="H18" s="40">
        <v>33666</v>
      </c>
      <c r="I18" s="5"/>
    </row>
    <row r="19" spans="1:9" ht="17.25" customHeight="1" x14ac:dyDescent="0.25">
      <c r="A19" s="75" t="s">
        <v>37</v>
      </c>
      <c r="B19" s="75" t="s">
        <v>121</v>
      </c>
      <c r="C19" s="75" t="s">
        <v>121</v>
      </c>
      <c r="D19" s="50" t="s">
        <v>8</v>
      </c>
      <c r="E19" s="43" t="s">
        <v>340</v>
      </c>
      <c r="F19" s="109">
        <f t="shared" si="0"/>
        <v>11981</v>
      </c>
      <c r="G19" s="5">
        <v>11981</v>
      </c>
      <c r="H19" s="40">
        <v>4345</v>
      </c>
      <c r="I19" s="5"/>
    </row>
    <row r="20" spans="1:9" ht="17.25" customHeight="1" x14ac:dyDescent="0.25">
      <c r="A20" s="75" t="s">
        <v>38</v>
      </c>
      <c r="B20" s="75" t="s">
        <v>121</v>
      </c>
      <c r="C20" s="75" t="s">
        <v>121</v>
      </c>
      <c r="D20" s="50" t="s">
        <v>8</v>
      </c>
      <c r="E20" s="43" t="s">
        <v>180</v>
      </c>
      <c r="F20" s="109">
        <f t="shared" si="0"/>
        <v>7600</v>
      </c>
      <c r="G20" s="5">
        <v>7600</v>
      </c>
      <c r="H20" s="5">
        <v>5803</v>
      </c>
      <c r="I20" s="5"/>
    </row>
    <row r="21" spans="1:9" ht="17.25" customHeight="1" x14ac:dyDescent="0.25">
      <c r="A21" s="76" t="s">
        <v>39</v>
      </c>
      <c r="B21" s="75" t="s">
        <v>121</v>
      </c>
      <c r="C21" s="75" t="s">
        <v>121</v>
      </c>
      <c r="D21" s="50" t="s">
        <v>8</v>
      </c>
      <c r="E21" s="43" t="s">
        <v>124</v>
      </c>
      <c r="F21" s="109">
        <f t="shared" si="0"/>
        <v>22822</v>
      </c>
      <c r="G21" s="5">
        <v>22822</v>
      </c>
      <c r="H21" s="40">
        <v>17424</v>
      </c>
      <c r="I21" s="5"/>
    </row>
    <row r="22" spans="1:9" ht="17.25" customHeight="1" x14ac:dyDescent="0.25">
      <c r="A22" s="75" t="s">
        <v>40</v>
      </c>
      <c r="B22" s="75" t="s">
        <v>121</v>
      </c>
      <c r="C22" s="75" t="s">
        <v>121</v>
      </c>
      <c r="D22" s="50" t="s">
        <v>8</v>
      </c>
      <c r="E22" s="32" t="s">
        <v>125</v>
      </c>
      <c r="F22" s="109">
        <f t="shared" si="0"/>
        <v>12569</v>
      </c>
      <c r="G22" s="9">
        <v>12569</v>
      </c>
      <c r="H22" s="112">
        <v>1223</v>
      </c>
      <c r="I22" s="9"/>
    </row>
    <row r="23" spans="1:9" ht="31.5" customHeight="1" x14ac:dyDescent="0.25">
      <c r="A23" s="77" t="s">
        <v>41</v>
      </c>
      <c r="B23" s="75" t="s">
        <v>121</v>
      </c>
      <c r="C23" s="75" t="s">
        <v>121</v>
      </c>
      <c r="D23" s="58" t="s">
        <v>8</v>
      </c>
      <c r="E23" s="52" t="s">
        <v>344</v>
      </c>
      <c r="F23" s="109">
        <f t="shared" si="0"/>
        <v>637</v>
      </c>
      <c r="G23" s="5">
        <v>637</v>
      </c>
      <c r="H23" s="5"/>
      <c r="I23" s="5"/>
    </row>
    <row r="24" spans="1:9" ht="15.75" customHeight="1" x14ac:dyDescent="0.25">
      <c r="A24" s="77" t="s">
        <v>42</v>
      </c>
      <c r="B24" s="75" t="s">
        <v>121</v>
      </c>
      <c r="C24" s="75" t="s">
        <v>121</v>
      </c>
      <c r="D24" s="50" t="s">
        <v>8</v>
      </c>
      <c r="E24" s="53" t="s">
        <v>126</v>
      </c>
      <c r="F24" s="109">
        <f t="shared" si="0"/>
        <v>7559</v>
      </c>
      <c r="G24" s="5">
        <v>7559</v>
      </c>
      <c r="H24" s="5"/>
      <c r="I24" s="5"/>
    </row>
    <row r="25" spans="1:9" ht="15.75" customHeight="1" x14ac:dyDescent="0.25">
      <c r="A25" s="77" t="s">
        <v>43</v>
      </c>
      <c r="B25" s="75" t="s">
        <v>121</v>
      </c>
      <c r="C25" s="75" t="s">
        <v>155</v>
      </c>
      <c r="D25" s="50" t="s">
        <v>8</v>
      </c>
      <c r="E25" s="43" t="s">
        <v>128</v>
      </c>
      <c r="F25" s="109">
        <f t="shared" si="0"/>
        <v>5618</v>
      </c>
      <c r="G25" s="4">
        <v>5618</v>
      </c>
      <c r="H25" s="4">
        <v>3824</v>
      </c>
      <c r="I25" s="5"/>
    </row>
    <row r="26" spans="1:9" ht="15.75" customHeight="1" x14ac:dyDescent="0.25">
      <c r="A26" s="75" t="s">
        <v>44</v>
      </c>
      <c r="B26" s="75" t="s">
        <v>121</v>
      </c>
      <c r="C26" s="75" t="s">
        <v>155</v>
      </c>
      <c r="D26" s="50" t="s">
        <v>8</v>
      </c>
      <c r="E26" s="53" t="s">
        <v>129</v>
      </c>
      <c r="F26" s="109">
        <f t="shared" si="0"/>
        <v>11943</v>
      </c>
      <c r="G26" s="4">
        <v>11943</v>
      </c>
      <c r="H26" s="40">
        <v>4894</v>
      </c>
      <c r="I26" s="5"/>
    </row>
    <row r="27" spans="1:9" ht="15.75" customHeight="1" x14ac:dyDescent="0.25">
      <c r="A27" s="75" t="s">
        <v>45</v>
      </c>
      <c r="B27" s="75" t="s">
        <v>157</v>
      </c>
      <c r="C27" s="75" t="s">
        <v>152</v>
      </c>
      <c r="D27" s="50" t="s">
        <v>8</v>
      </c>
      <c r="E27" s="5" t="s">
        <v>305</v>
      </c>
      <c r="F27" s="40">
        <f t="shared" si="0"/>
        <v>423515</v>
      </c>
      <c r="G27" s="4">
        <v>423515</v>
      </c>
      <c r="H27" s="40">
        <v>283803</v>
      </c>
      <c r="I27" s="5"/>
    </row>
    <row r="28" spans="1:9" ht="15.75" customHeight="1" x14ac:dyDescent="0.25">
      <c r="A28" s="77" t="s">
        <v>46</v>
      </c>
      <c r="B28" s="75" t="s">
        <v>121</v>
      </c>
      <c r="C28" s="75" t="s">
        <v>156</v>
      </c>
      <c r="D28" s="50" t="s">
        <v>8</v>
      </c>
      <c r="E28" s="60" t="s">
        <v>130</v>
      </c>
      <c r="F28" s="40">
        <f t="shared" si="0"/>
        <v>190512</v>
      </c>
      <c r="G28" s="4">
        <v>190512</v>
      </c>
      <c r="H28" s="40">
        <v>118845</v>
      </c>
      <c r="I28" s="5"/>
    </row>
    <row r="29" spans="1:9" ht="15.75" customHeight="1" x14ac:dyDescent="0.25">
      <c r="A29" s="77" t="s">
        <v>47</v>
      </c>
      <c r="B29" s="75" t="s">
        <v>153</v>
      </c>
      <c r="C29" s="75" t="s">
        <v>156</v>
      </c>
      <c r="D29" s="58" t="s">
        <v>8</v>
      </c>
      <c r="E29" s="78" t="s">
        <v>203</v>
      </c>
      <c r="F29" s="108">
        <f t="shared" si="0"/>
        <v>151964</v>
      </c>
      <c r="G29" s="4">
        <v>151964</v>
      </c>
      <c r="H29" s="5">
        <v>16200</v>
      </c>
      <c r="I29" s="5"/>
    </row>
    <row r="30" spans="1:9" ht="15.75" customHeight="1" x14ac:dyDescent="0.25">
      <c r="A30" s="77" t="s">
        <v>48</v>
      </c>
      <c r="B30" s="75" t="s">
        <v>158</v>
      </c>
      <c r="C30" s="75" t="s">
        <v>156</v>
      </c>
      <c r="D30" s="50" t="s">
        <v>8</v>
      </c>
      <c r="E30" s="53" t="s">
        <v>127</v>
      </c>
      <c r="F30" s="108">
        <f t="shared" si="0"/>
        <v>181283</v>
      </c>
      <c r="G30" s="5">
        <v>181283</v>
      </c>
      <c r="H30" s="5">
        <v>8498</v>
      </c>
      <c r="I30" s="5"/>
    </row>
    <row r="31" spans="1:9" ht="15.75" customHeight="1" x14ac:dyDescent="0.25">
      <c r="A31" s="77" t="s">
        <v>49</v>
      </c>
      <c r="B31" s="75" t="s">
        <v>48</v>
      </c>
      <c r="C31" s="75" t="s">
        <v>42</v>
      </c>
      <c r="D31" s="58" t="s">
        <v>8</v>
      </c>
      <c r="E31" s="68" t="s">
        <v>131</v>
      </c>
      <c r="F31" s="108">
        <f t="shared" si="0"/>
        <v>133910</v>
      </c>
      <c r="G31" s="40">
        <v>133910</v>
      </c>
      <c r="H31" s="40"/>
      <c r="I31" s="40"/>
    </row>
    <row r="32" spans="1:9" ht="15.75" customHeight="1" x14ac:dyDescent="0.25">
      <c r="A32" s="75" t="s">
        <v>342</v>
      </c>
      <c r="B32" s="75" t="s">
        <v>48</v>
      </c>
      <c r="C32" s="75" t="s">
        <v>42</v>
      </c>
      <c r="D32" s="50" t="s">
        <v>8</v>
      </c>
      <c r="E32" s="68" t="s">
        <v>403</v>
      </c>
      <c r="F32" s="109">
        <f t="shared" si="0"/>
        <v>3342</v>
      </c>
      <c r="G32" s="40">
        <v>3342</v>
      </c>
      <c r="H32" s="40">
        <v>2552</v>
      </c>
      <c r="I32" s="45"/>
    </row>
    <row r="33" spans="1:9" ht="15.75" customHeight="1" x14ac:dyDescent="0.25">
      <c r="A33" s="75" t="s">
        <v>50</v>
      </c>
      <c r="B33" s="75" t="s">
        <v>48</v>
      </c>
      <c r="C33" s="75" t="s">
        <v>42</v>
      </c>
      <c r="D33" s="50" t="s">
        <v>8</v>
      </c>
      <c r="E33" s="68" t="s">
        <v>132</v>
      </c>
      <c r="F33" s="109">
        <f t="shared" si="0"/>
        <v>47880</v>
      </c>
      <c r="G33" s="4">
        <v>47880</v>
      </c>
      <c r="H33" s="16"/>
      <c r="I33" s="45"/>
    </row>
    <row r="34" spans="1:9" ht="15.75" customHeight="1" x14ac:dyDescent="0.25">
      <c r="A34" s="75" t="s">
        <v>332</v>
      </c>
      <c r="B34" s="75">
        <v>1</v>
      </c>
      <c r="C34" s="75" t="s">
        <v>42</v>
      </c>
      <c r="D34" s="50" t="s">
        <v>8</v>
      </c>
      <c r="E34" s="68" t="s">
        <v>403</v>
      </c>
      <c r="F34" s="109">
        <f t="shared" si="0"/>
        <v>10442</v>
      </c>
      <c r="G34" s="4">
        <v>10442</v>
      </c>
      <c r="H34" s="4">
        <v>7970</v>
      </c>
      <c r="I34" s="45"/>
    </row>
    <row r="35" spans="1:9" ht="30.75" customHeight="1" x14ac:dyDescent="0.25">
      <c r="A35" s="75" t="s">
        <v>51</v>
      </c>
      <c r="B35" s="75" t="s">
        <v>48</v>
      </c>
      <c r="C35" s="75" t="s">
        <v>42</v>
      </c>
      <c r="D35" s="67" t="s">
        <v>346</v>
      </c>
      <c r="E35" s="68" t="s">
        <v>132</v>
      </c>
      <c r="F35" s="109">
        <f t="shared" si="0"/>
        <v>7500</v>
      </c>
      <c r="G35" s="4">
        <v>7500</v>
      </c>
      <c r="H35" s="40"/>
      <c r="I35" s="45"/>
    </row>
    <row r="36" spans="1:9" ht="33" customHeight="1" x14ac:dyDescent="0.25">
      <c r="A36" s="75" t="s">
        <v>52</v>
      </c>
      <c r="B36" s="75" t="s">
        <v>48</v>
      </c>
      <c r="C36" s="75" t="s">
        <v>42</v>
      </c>
      <c r="D36" s="50" t="s">
        <v>347</v>
      </c>
      <c r="E36" s="68" t="s">
        <v>132</v>
      </c>
      <c r="F36" s="109">
        <f t="shared" si="0"/>
        <v>11000</v>
      </c>
      <c r="G36" s="4">
        <v>11000</v>
      </c>
      <c r="H36" s="40"/>
      <c r="I36" s="45"/>
    </row>
    <row r="37" spans="1:9" ht="29.25" customHeight="1" x14ac:dyDescent="0.25">
      <c r="A37" s="75" t="s">
        <v>53</v>
      </c>
      <c r="B37" s="75" t="s">
        <v>48</v>
      </c>
      <c r="C37" s="75" t="s">
        <v>42</v>
      </c>
      <c r="D37" s="50" t="s">
        <v>348</v>
      </c>
      <c r="E37" s="68" t="s">
        <v>132</v>
      </c>
      <c r="F37" s="109">
        <f t="shared" si="0"/>
        <v>190</v>
      </c>
      <c r="G37" s="4">
        <v>190</v>
      </c>
      <c r="H37" s="40"/>
      <c r="I37" s="45"/>
    </row>
    <row r="38" spans="1:9" ht="30.75" customHeight="1" x14ac:dyDescent="0.25">
      <c r="A38" s="75" t="s">
        <v>54</v>
      </c>
      <c r="B38" s="75" t="s">
        <v>48</v>
      </c>
      <c r="C38" s="75" t="s">
        <v>42</v>
      </c>
      <c r="D38" s="50" t="s">
        <v>349</v>
      </c>
      <c r="E38" s="68" t="s">
        <v>132</v>
      </c>
      <c r="F38" s="109">
        <f t="shared" si="0"/>
        <v>1500</v>
      </c>
      <c r="G38" s="4">
        <v>1500</v>
      </c>
      <c r="H38" s="40"/>
      <c r="I38" s="45"/>
    </row>
    <row r="39" spans="1:9" ht="14.25" customHeight="1" x14ac:dyDescent="0.25">
      <c r="A39" s="75" t="s">
        <v>55</v>
      </c>
      <c r="B39" s="75" t="s">
        <v>48</v>
      </c>
      <c r="C39" s="75" t="s">
        <v>42</v>
      </c>
      <c r="D39" s="50" t="s">
        <v>350</v>
      </c>
      <c r="E39" s="68" t="s">
        <v>132</v>
      </c>
      <c r="F39" s="109">
        <f t="shared" si="0"/>
        <v>10000</v>
      </c>
      <c r="G39" s="4">
        <v>10000</v>
      </c>
      <c r="H39" s="40"/>
      <c r="I39" s="45"/>
    </row>
    <row r="40" spans="1:9" ht="17.25" customHeight="1" x14ac:dyDescent="0.25">
      <c r="A40" s="75" t="s">
        <v>65</v>
      </c>
      <c r="B40" s="75" t="s">
        <v>48</v>
      </c>
      <c r="C40" s="75" t="s">
        <v>42</v>
      </c>
      <c r="D40" s="50" t="s">
        <v>351</v>
      </c>
      <c r="E40" s="68" t="s">
        <v>132</v>
      </c>
      <c r="F40" s="109">
        <f t="shared" si="0"/>
        <v>5600</v>
      </c>
      <c r="G40" s="4">
        <v>5600</v>
      </c>
      <c r="H40" s="40"/>
      <c r="I40" s="45"/>
    </row>
    <row r="41" spans="1:9" ht="29.25" customHeight="1" x14ac:dyDescent="0.25">
      <c r="A41" s="75" t="s">
        <v>78</v>
      </c>
      <c r="B41" s="75" t="s">
        <v>48</v>
      </c>
      <c r="C41" s="75" t="s">
        <v>42</v>
      </c>
      <c r="D41" s="50" t="s">
        <v>352</v>
      </c>
      <c r="E41" s="68" t="s">
        <v>132</v>
      </c>
      <c r="F41" s="109">
        <f t="shared" si="0"/>
        <v>13500</v>
      </c>
      <c r="G41" s="4">
        <v>13500</v>
      </c>
      <c r="H41" s="40"/>
      <c r="I41" s="45"/>
    </row>
    <row r="42" spans="1:9" ht="15.75" customHeight="1" x14ac:dyDescent="0.25">
      <c r="A42" s="75" t="s">
        <v>114</v>
      </c>
      <c r="B42" s="75" t="s">
        <v>48</v>
      </c>
      <c r="C42" s="75" t="s">
        <v>42</v>
      </c>
      <c r="D42" s="69" t="s">
        <v>353</v>
      </c>
      <c r="E42" s="68" t="s">
        <v>132</v>
      </c>
      <c r="F42" s="109">
        <f t="shared" si="0"/>
        <v>9200</v>
      </c>
      <c r="G42" s="4">
        <v>9200</v>
      </c>
      <c r="H42" s="40"/>
      <c r="I42" s="45"/>
    </row>
    <row r="43" spans="1:9" ht="15.75" customHeight="1" x14ac:dyDescent="0.25">
      <c r="A43" s="75" t="s">
        <v>116</v>
      </c>
      <c r="B43" s="75" t="s">
        <v>48</v>
      </c>
      <c r="C43" s="75" t="s">
        <v>42</v>
      </c>
      <c r="D43" s="69" t="s">
        <v>354</v>
      </c>
      <c r="E43" s="68" t="s">
        <v>132</v>
      </c>
      <c r="F43" s="109">
        <f t="shared" si="0"/>
        <v>12000</v>
      </c>
      <c r="G43" s="4">
        <v>12000</v>
      </c>
      <c r="H43" s="40"/>
      <c r="I43" s="45"/>
    </row>
    <row r="44" spans="1:9" ht="15.75" customHeight="1" x14ac:dyDescent="0.25">
      <c r="A44" s="75" t="s">
        <v>239</v>
      </c>
      <c r="B44" s="75" t="s">
        <v>48</v>
      </c>
      <c r="C44" s="75" t="s">
        <v>42</v>
      </c>
      <c r="D44" s="69" t="s">
        <v>355</v>
      </c>
      <c r="E44" s="68" t="s">
        <v>132</v>
      </c>
      <c r="F44" s="109">
        <f t="shared" si="0"/>
        <v>12000</v>
      </c>
      <c r="G44" s="4">
        <v>12000</v>
      </c>
      <c r="H44" s="40"/>
      <c r="I44" s="45"/>
    </row>
    <row r="45" spans="1:9" ht="15.75" customHeight="1" x14ac:dyDescent="0.25">
      <c r="A45" s="75" t="s">
        <v>133</v>
      </c>
      <c r="B45" s="75" t="s">
        <v>48</v>
      </c>
      <c r="C45" s="75" t="s">
        <v>42</v>
      </c>
      <c r="D45" s="5" t="s">
        <v>356</v>
      </c>
      <c r="E45" s="5" t="s">
        <v>132</v>
      </c>
      <c r="F45" s="109">
        <f t="shared" si="0"/>
        <v>16000</v>
      </c>
      <c r="G45" s="4">
        <v>16000</v>
      </c>
      <c r="H45" s="40"/>
      <c r="I45" s="45"/>
    </row>
    <row r="46" spans="1:9" ht="15.75" customHeight="1" x14ac:dyDescent="0.25">
      <c r="A46" s="75" t="s">
        <v>134</v>
      </c>
      <c r="B46" s="75" t="s">
        <v>48</v>
      </c>
      <c r="C46" s="75" t="s">
        <v>42</v>
      </c>
      <c r="D46" s="5" t="s">
        <v>357</v>
      </c>
      <c r="E46" s="5" t="s">
        <v>132</v>
      </c>
      <c r="F46" s="40">
        <f t="shared" si="0"/>
        <v>13500</v>
      </c>
      <c r="G46" s="4">
        <v>13500</v>
      </c>
      <c r="H46" s="40"/>
      <c r="I46" s="45"/>
    </row>
    <row r="47" spans="1:9" ht="15.75" customHeight="1" x14ac:dyDescent="0.25">
      <c r="A47" s="75" t="s">
        <v>135</v>
      </c>
      <c r="B47" s="75" t="s">
        <v>48</v>
      </c>
      <c r="C47" s="75" t="s">
        <v>42</v>
      </c>
      <c r="D47" s="5" t="s">
        <v>306</v>
      </c>
      <c r="E47" s="5" t="s">
        <v>132</v>
      </c>
      <c r="F47" s="109">
        <f t="shared" si="0"/>
        <v>24500</v>
      </c>
      <c r="G47" s="4">
        <v>24500</v>
      </c>
      <c r="H47" s="40"/>
      <c r="I47" s="45"/>
    </row>
    <row r="48" spans="1:9" ht="30.75" customHeight="1" x14ac:dyDescent="0.25">
      <c r="A48" s="75" t="s">
        <v>136</v>
      </c>
      <c r="B48" s="75" t="s">
        <v>48</v>
      </c>
      <c r="C48" s="75" t="s">
        <v>42</v>
      </c>
      <c r="D48" s="50" t="s">
        <v>359</v>
      </c>
      <c r="E48" s="5" t="s">
        <v>132</v>
      </c>
      <c r="F48" s="40">
        <f t="shared" si="0"/>
        <v>33000</v>
      </c>
      <c r="G48" s="4">
        <v>33000</v>
      </c>
      <c r="H48" s="40"/>
      <c r="I48" s="45"/>
    </row>
    <row r="49" spans="1:9" ht="37.5" customHeight="1" x14ac:dyDescent="0.25">
      <c r="A49" s="75" t="s">
        <v>137</v>
      </c>
      <c r="B49" s="75" t="s">
        <v>48</v>
      </c>
      <c r="C49" s="75" t="s">
        <v>42</v>
      </c>
      <c r="D49" s="50" t="s">
        <v>358</v>
      </c>
      <c r="E49" s="5" t="s">
        <v>132</v>
      </c>
      <c r="F49" s="40">
        <f t="shared" si="0"/>
        <v>43800</v>
      </c>
      <c r="G49" s="4">
        <v>43800</v>
      </c>
      <c r="H49" s="40"/>
      <c r="I49" s="45"/>
    </row>
    <row r="50" spans="1:9" ht="17.25" customHeight="1" x14ac:dyDescent="0.25">
      <c r="A50" s="75" t="s">
        <v>138</v>
      </c>
      <c r="B50" s="75" t="s">
        <v>43</v>
      </c>
      <c r="C50" s="75" t="s">
        <v>42</v>
      </c>
      <c r="D50" s="69" t="s">
        <v>8</v>
      </c>
      <c r="E50" s="68" t="s">
        <v>404</v>
      </c>
      <c r="F50" s="108">
        <f t="shared" si="0"/>
        <v>9720</v>
      </c>
      <c r="G50" s="129">
        <v>9720</v>
      </c>
      <c r="H50" s="4"/>
      <c r="I50" s="45"/>
    </row>
    <row r="51" spans="1:9" ht="17.25" customHeight="1" x14ac:dyDescent="0.25">
      <c r="A51" s="75" t="s">
        <v>405</v>
      </c>
      <c r="B51" s="75" t="s">
        <v>121</v>
      </c>
      <c r="C51" s="75" t="s">
        <v>42</v>
      </c>
      <c r="D51" s="69" t="s">
        <v>8</v>
      </c>
      <c r="E51" s="68" t="s">
        <v>403</v>
      </c>
      <c r="F51" s="109">
        <f t="shared" si="0"/>
        <v>381</v>
      </c>
      <c r="G51" s="129">
        <v>381</v>
      </c>
      <c r="H51" s="4">
        <v>291</v>
      </c>
      <c r="I51" s="45"/>
    </row>
    <row r="52" spans="1:9" ht="17.25" customHeight="1" x14ac:dyDescent="0.25">
      <c r="A52" s="75" t="s">
        <v>139</v>
      </c>
      <c r="B52" s="75" t="s">
        <v>48</v>
      </c>
      <c r="C52" s="75" t="s">
        <v>42</v>
      </c>
      <c r="D52" s="69" t="s">
        <v>8</v>
      </c>
      <c r="E52" s="68" t="s">
        <v>165</v>
      </c>
      <c r="F52" s="109">
        <f t="shared" si="0"/>
        <v>273260</v>
      </c>
      <c r="G52" s="129">
        <v>273260</v>
      </c>
      <c r="H52" s="4"/>
      <c r="I52" s="45"/>
    </row>
    <row r="53" spans="1:9" ht="17.25" customHeight="1" x14ac:dyDescent="0.25">
      <c r="A53" s="80" t="s">
        <v>343</v>
      </c>
      <c r="B53" s="75" t="s">
        <v>121</v>
      </c>
      <c r="C53" s="75" t="s">
        <v>42</v>
      </c>
      <c r="D53" s="69" t="s">
        <v>8</v>
      </c>
      <c r="E53" s="68" t="s">
        <v>403</v>
      </c>
      <c r="F53" s="32">
        <f t="shared" si="0"/>
        <v>8190</v>
      </c>
      <c r="G53" s="123">
        <v>8190</v>
      </c>
      <c r="H53" s="40">
        <v>6253</v>
      </c>
      <c r="I53" s="45"/>
    </row>
    <row r="54" spans="1:9" ht="17.25" customHeight="1" x14ac:dyDescent="0.25">
      <c r="A54" s="80" t="s">
        <v>140</v>
      </c>
      <c r="B54" s="75" t="s">
        <v>48</v>
      </c>
      <c r="C54" s="75" t="s">
        <v>42</v>
      </c>
      <c r="D54" s="50" t="s">
        <v>8</v>
      </c>
      <c r="E54" s="53" t="s">
        <v>169</v>
      </c>
      <c r="F54" s="43">
        <f t="shared" si="0"/>
        <v>126344</v>
      </c>
      <c r="G54" s="129">
        <v>126344</v>
      </c>
      <c r="H54" s="4"/>
      <c r="I54" s="45"/>
    </row>
    <row r="55" spans="1:9" ht="17.25" customHeight="1" x14ac:dyDescent="0.25">
      <c r="A55" s="132" t="s">
        <v>141</v>
      </c>
      <c r="B55" s="130" t="s">
        <v>44</v>
      </c>
      <c r="C55" s="130" t="s">
        <v>153</v>
      </c>
      <c r="D55" s="3" t="s">
        <v>117</v>
      </c>
      <c r="E55" s="14" t="s">
        <v>406</v>
      </c>
      <c r="F55" s="133">
        <f t="shared" si="0"/>
        <v>38199</v>
      </c>
      <c r="G55" s="129">
        <v>38199</v>
      </c>
      <c r="H55" s="40">
        <v>24500</v>
      </c>
      <c r="I55" s="6"/>
    </row>
    <row r="56" spans="1:9" ht="17.25" customHeight="1" x14ac:dyDescent="0.25">
      <c r="A56" s="75" t="s">
        <v>142</v>
      </c>
      <c r="B56" s="130" t="s">
        <v>44</v>
      </c>
      <c r="C56" s="130" t="s">
        <v>153</v>
      </c>
      <c r="D56" s="172" t="s">
        <v>117</v>
      </c>
      <c r="E56" s="14" t="s">
        <v>407</v>
      </c>
      <c r="F56" s="108">
        <f t="shared" si="0"/>
        <v>33845</v>
      </c>
      <c r="G56" s="129">
        <v>33845</v>
      </c>
      <c r="H56" s="40">
        <v>22800</v>
      </c>
      <c r="I56" s="6"/>
    </row>
    <row r="57" spans="1:9" ht="17.25" customHeight="1" x14ac:dyDescent="0.25">
      <c r="A57" s="75" t="s">
        <v>170</v>
      </c>
      <c r="B57" s="75">
        <v>13</v>
      </c>
      <c r="C57" s="75" t="s">
        <v>157</v>
      </c>
      <c r="D57" s="50" t="s">
        <v>8</v>
      </c>
      <c r="E57" s="53" t="s">
        <v>442</v>
      </c>
      <c r="F57" s="108">
        <f t="shared" si="0"/>
        <v>231696</v>
      </c>
      <c r="G57" s="123"/>
      <c r="H57" s="40"/>
      <c r="I57" s="40">
        <v>231696</v>
      </c>
    </row>
    <row r="58" spans="1:9" ht="17.25" customHeight="1" x14ac:dyDescent="0.25">
      <c r="A58" s="75" t="s">
        <v>171</v>
      </c>
      <c r="B58" s="130" t="s">
        <v>44</v>
      </c>
      <c r="C58" s="130" t="s">
        <v>153</v>
      </c>
      <c r="D58" s="3" t="s">
        <v>8</v>
      </c>
      <c r="E58" s="14" t="s">
        <v>372</v>
      </c>
      <c r="F58" s="131">
        <f t="shared" si="0"/>
        <v>115848</v>
      </c>
      <c r="G58" s="129"/>
      <c r="H58" s="4"/>
      <c r="I58" s="4">
        <v>115848</v>
      </c>
    </row>
    <row r="59" spans="1:9" ht="17.25" customHeight="1" x14ac:dyDescent="0.25">
      <c r="A59" s="75" t="s">
        <v>172</v>
      </c>
      <c r="B59" s="130" t="s">
        <v>47</v>
      </c>
      <c r="C59" s="75" t="s">
        <v>154</v>
      </c>
      <c r="D59" s="5" t="s">
        <v>306</v>
      </c>
      <c r="E59" s="14" t="s">
        <v>437</v>
      </c>
      <c r="F59" s="131">
        <f t="shared" si="0"/>
        <v>130329</v>
      </c>
      <c r="G59" s="129"/>
      <c r="H59" s="4"/>
      <c r="I59" s="4">
        <v>130329</v>
      </c>
    </row>
    <row r="60" spans="1:9" ht="20.25" customHeight="1" x14ac:dyDescent="0.25">
      <c r="A60" s="75" t="s">
        <v>173</v>
      </c>
      <c r="B60" s="75" t="s">
        <v>121</v>
      </c>
      <c r="C60" s="75" t="s">
        <v>121</v>
      </c>
      <c r="D60" s="50" t="s">
        <v>8</v>
      </c>
      <c r="E60" s="14" t="s">
        <v>460</v>
      </c>
      <c r="F60" s="131">
        <f t="shared" si="0"/>
        <v>7009</v>
      </c>
      <c r="G60" s="129">
        <v>7009</v>
      </c>
      <c r="H60" s="4"/>
      <c r="I60" s="4"/>
    </row>
    <row r="61" spans="1:9" ht="20.25" customHeight="1" x14ac:dyDescent="0.25">
      <c r="A61" s="75" t="s">
        <v>174</v>
      </c>
      <c r="B61" s="130" t="s">
        <v>157</v>
      </c>
      <c r="C61" s="75" t="s">
        <v>156</v>
      </c>
      <c r="D61" s="50" t="s">
        <v>8</v>
      </c>
      <c r="E61" s="14" t="s">
        <v>461</v>
      </c>
      <c r="F61" s="32">
        <f t="shared" si="0"/>
        <v>1120728</v>
      </c>
      <c r="G61" s="79">
        <v>445528</v>
      </c>
      <c r="H61" s="5"/>
      <c r="I61" s="5">
        <v>675200</v>
      </c>
    </row>
    <row r="62" spans="1:9" ht="30.75" customHeight="1" x14ac:dyDescent="0.25">
      <c r="A62" s="75" t="s">
        <v>240</v>
      </c>
      <c r="B62" s="75">
        <v>15</v>
      </c>
      <c r="C62" s="75" t="s">
        <v>154</v>
      </c>
      <c r="D62" s="50" t="s">
        <v>358</v>
      </c>
      <c r="E62" s="68" t="s">
        <v>363</v>
      </c>
      <c r="F62" s="32">
        <f t="shared" si="0"/>
        <v>17137</v>
      </c>
      <c r="G62" s="4">
        <v>17137</v>
      </c>
      <c r="H62" s="40">
        <v>3600</v>
      </c>
      <c r="I62" s="4"/>
    </row>
    <row r="63" spans="1:9" ht="17.25" customHeight="1" x14ac:dyDescent="0.25">
      <c r="A63" s="75" t="s">
        <v>174</v>
      </c>
      <c r="B63" s="77"/>
      <c r="C63" s="81"/>
      <c r="D63" s="257" t="s">
        <v>143</v>
      </c>
      <c r="E63" s="258"/>
      <c r="F63" s="82">
        <f>SUM(G63,I63)</f>
        <v>3609415</v>
      </c>
      <c r="G63" s="82">
        <f>SUM(G15:G62)</f>
        <v>2456342</v>
      </c>
      <c r="H63" s="82">
        <f t="shared" ref="H63:I63" si="1">SUM(H15:H62)</f>
        <v>574617</v>
      </c>
      <c r="I63" s="83">
        <f t="shared" si="1"/>
        <v>1153073</v>
      </c>
    </row>
  </sheetData>
  <mergeCells count="19">
    <mergeCell ref="D63:E63"/>
    <mergeCell ref="D10:I10"/>
    <mergeCell ref="E11:E14"/>
    <mergeCell ref="F11:F14"/>
    <mergeCell ref="G11:I11"/>
    <mergeCell ref="G12:H12"/>
    <mergeCell ref="I12:I14"/>
    <mergeCell ref="G13:G14"/>
    <mergeCell ref="H13:H14"/>
    <mergeCell ref="E1:H1"/>
    <mergeCell ref="E3:H3"/>
    <mergeCell ref="A11:A14"/>
    <mergeCell ref="B11:B14"/>
    <mergeCell ref="C11:C14"/>
    <mergeCell ref="D11:D14"/>
    <mergeCell ref="A7:I7"/>
    <mergeCell ref="A8:I8"/>
    <mergeCell ref="E4:I4"/>
    <mergeCell ref="A9:I9"/>
  </mergeCells>
  <phoneticPr fontId="0" type="noConversion"/>
  <pageMargins left="0" right="0" top="0.78740157480314965" bottom="0" header="0.51181102362204722" footer="0.51181102362204722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L17" sqref="L17"/>
    </sheetView>
  </sheetViews>
  <sheetFormatPr defaultColWidth="9.140625" defaultRowHeight="15.75" x14ac:dyDescent="0.25"/>
  <cols>
    <col min="1" max="1" width="5.42578125" style="16" customWidth="1"/>
    <col min="2" max="2" width="6.28515625" style="16" customWidth="1"/>
    <col min="3" max="3" width="10.140625" style="16" customWidth="1"/>
    <col min="4" max="4" width="38.85546875" style="16" customWidth="1"/>
    <col min="5" max="5" width="33.28515625" style="16" customWidth="1"/>
    <col min="6" max="6" width="10.5703125" style="16" customWidth="1"/>
    <col min="7" max="7" width="10.7109375" style="16" customWidth="1"/>
    <col min="8" max="8" width="11.140625" style="16" customWidth="1"/>
    <col min="9" max="9" width="9.42578125" style="16" customWidth="1"/>
    <col min="10" max="16384" width="9.140625" style="16"/>
  </cols>
  <sheetData>
    <row r="1" spans="1:9" ht="15" customHeight="1" x14ac:dyDescent="0.25">
      <c r="E1" s="253" t="s">
        <v>400</v>
      </c>
      <c r="F1" s="253"/>
      <c r="G1" s="253"/>
      <c r="H1" s="253"/>
    </row>
    <row r="2" spans="1:9" ht="15" customHeight="1" x14ac:dyDescent="0.25">
      <c r="E2" s="84" t="s">
        <v>448</v>
      </c>
      <c r="F2" s="84"/>
      <c r="G2" s="84"/>
      <c r="H2" s="84"/>
    </row>
    <row r="3" spans="1:9" ht="14.25" customHeight="1" x14ac:dyDescent="0.25">
      <c r="E3" s="208" t="s">
        <v>376</v>
      </c>
      <c r="F3" s="208"/>
      <c r="G3" s="208"/>
      <c r="H3" s="208"/>
    </row>
    <row r="4" spans="1:9" ht="15.75" customHeight="1" x14ac:dyDescent="0.25">
      <c r="E4" s="264"/>
      <c r="F4" s="264"/>
      <c r="G4" s="264"/>
      <c r="H4" s="264"/>
    </row>
    <row r="5" spans="1:9" ht="13.5" customHeight="1" x14ac:dyDescent="0.25">
      <c r="E5" s="41"/>
    </row>
    <row r="6" spans="1:9" ht="16.5" customHeight="1" x14ac:dyDescent="0.25">
      <c r="C6" s="23" t="s">
        <v>408</v>
      </c>
      <c r="D6" s="23"/>
      <c r="E6" s="23"/>
      <c r="F6" s="23"/>
      <c r="G6" s="23"/>
      <c r="H6" s="23"/>
    </row>
    <row r="7" spans="1:9" ht="14.25" customHeight="1" x14ac:dyDescent="0.25">
      <c r="C7" s="210" t="s">
        <v>175</v>
      </c>
      <c r="D7" s="210"/>
      <c r="E7" s="210"/>
      <c r="F7" s="210"/>
      <c r="G7" s="210"/>
      <c r="H7" s="210"/>
    </row>
    <row r="8" spans="1:9" ht="14.25" customHeight="1" x14ac:dyDescent="0.25">
      <c r="A8" s="17"/>
      <c r="B8" s="17"/>
      <c r="C8" s="17"/>
      <c r="D8" s="265" t="s">
        <v>402</v>
      </c>
      <c r="E8" s="265"/>
      <c r="F8" s="265"/>
      <c r="G8" s="265"/>
      <c r="H8" s="265"/>
    </row>
    <row r="9" spans="1:9" ht="8.25" hidden="1" customHeight="1" x14ac:dyDescent="0.25">
      <c r="A9" s="263" t="s">
        <v>56</v>
      </c>
      <c r="B9" s="263" t="s">
        <v>184</v>
      </c>
      <c r="C9" s="263" t="s">
        <v>185</v>
      </c>
      <c r="D9" s="263" t="s">
        <v>221</v>
      </c>
      <c r="E9" s="263" t="s">
        <v>119</v>
      </c>
      <c r="F9" s="238" t="s">
        <v>120</v>
      </c>
      <c r="G9" s="263"/>
      <c r="H9" s="263"/>
    </row>
    <row r="10" spans="1:9" ht="14.25" customHeight="1" x14ac:dyDescent="0.25">
      <c r="A10" s="263"/>
      <c r="B10" s="263"/>
      <c r="C10" s="263"/>
      <c r="D10" s="263"/>
      <c r="E10" s="263"/>
      <c r="F10" s="239"/>
      <c r="G10" s="263" t="s">
        <v>104</v>
      </c>
      <c r="H10" s="263"/>
      <c r="I10" s="238" t="s">
        <v>369</v>
      </c>
    </row>
    <row r="11" spans="1:9" ht="12.75" customHeight="1" x14ac:dyDescent="0.25">
      <c r="A11" s="263"/>
      <c r="B11" s="263"/>
      <c r="C11" s="263"/>
      <c r="D11" s="263"/>
      <c r="E11" s="263"/>
      <c r="F11" s="239"/>
      <c r="G11" s="263" t="s">
        <v>4</v>
      </c>
      <c r="H11" s="263" t="s">
        <v>105</v>
      </c>
      <c r="I11" s="239"/>
    </row>
    <row r="12" spans="1:9" ht="34.5" customHeight="1" x14ac:dyDescent="0.25">
      <c r="A12" s="263"/>
      <c r="B12" s="263"/>
      <c r="C12" s="263"/>
      <c r="D12" s="263"/>
      <c r="E12" s="263"/>
      <c r="F12" s="240"/>
      <c r="G12" s="263"/>
      <c r="H12" s="263"/>
      <c r="I12" s="240"/>
    </row>
    <row r="13" spans="1:9" ht="15.75" customHeight="1" x14ac:dyDescent="0.25">
      <c r="A13" s="19" t="s">
        <v>33</v>
      </c>
      <c r="B13" s="19" t="s">
        <v>47</v>
      </c>
      <c r="C13" s="19" t="s">
        <v>154</v>
      </c>
      <c r="D13" s="11" t="s">
        <v>346</v>
      </c>
      <c r="E13" s="4" t="s">
        <v>183</v>
      </c>
      <c r="F13" s="4">
        <f>SUM(G13+I13)</f>
        <v>224186</v>
      </c>
      <c r="G13" s="4">
        <v>224186</v>
      </c>
      <c r="H13" s="4">
        <v>166946</v>
      </c>
      <c r="I13" s="4"/>
    </row>
    <row r="14" spans="1:9" ht="15.75" customHeight="1" x14ac:dyDescent="0.25">
      <c r="A14" s="19" t="s">
        <v>34</v>
      </c>
      <c r="B14" s="19" t="s">
        <v>47</v>
      </c>
      <c r="C14" s="19" t="s">
        <v>154</v>
      </c>
      <c r="D14" s="3" t="s">
        <v>347</v>
      </c>
      <c r="E14" s="4" t="s">
        <v>183</v>
      </c>
      <c r="F14" s="4">
        <f t="shared" ref="F14:F31" si="0">SUM(G14+I14)</f>
        <v>224167</v>
      </c>
      <c r="G14" s="4">
        <v>224167</v>
      </c>
      <c r="H14" s="4">
        <v>166916</v>
      </c>
      <c r="I14" s="4"/>
    </row>
    <row r="15" spans="1:9" ht="15.75" customHeight="1" x14ac:dyDescent="0.25">
      <c r="A15" s="19" t="s">
        <v>35</v>
      </c>
      <c r="B15" s="19" t="s">
        <v>47</v>
      </c>
      <c r="C15" s="19" t="s">
        <v>154</v>
      </c>
      <c r="D15" s="3" t="s">
        <v>348</v>
      </c>
      <c r="E15" s="4" t="s">
        <v>183</v>
      </c>
      <c r="F15" s="4">
        <f t="shared" si="0"/>
        <v>31470</v>
      </c>
      <c r="G15" s="4">
        <v>31470</v>
      </c>
      <c r="H15" s="4">
        <v>23492</v>
      </c>
      <c r="I15" s="4"/>
    </row>
    <row r="16" spans="1:9" ht="15.75" customHeight="1" x14ac:dyDescent="0.25">
      <c r="A16" s="19" t="s">
        <v>36</v>
      </c>
      <c r="B16" s="19" t="s">
        <v>47</v>
      </c>
      <c r="C16" s="19" t="s">
        <v>154</v>
      </c>
      <c r="D16" s="3" t="s">
        <v>349</v>
      </c>
      <c r="E16" s="4" t="s">
        <v>183</v>
      </c>
      <c r="F16" s="4">
        <f t="shared" si="0"/>
        <v>82193</v>
      </c>
      <c r="G16" s="4">
        <v>82193</v>
      </c>
      <c r="H16" s="4">
        <v>61252</v>
      </c>
      <c r="I16" s="4"/>
    </row>
    <row r="17" spans="1:9" ht="15.75" customHeight="1" x14ac:dyDescent="0.25">
      <c r="A17" s="19" t="s">
        <v>37</v>
      </c>
      <c r="B17" s="19" t="s">
        <v>47</v>
      </c>
      <c r="C17" s="19" t="s">
        <v>154</v>
      </c>
      <c r="D17" s="3" t="s">
        <v>350</v>
      </c>
      <c r="E17" s="5" t="s">
        <v>399</v>
      </c>
      <c r="F17" s="4">
        <f t="shared" si="0"/>
        <v>148390</v>
      </c>
      <c r="G17" s="4">
        <v>148390</v>
      </c>
      <c r="H17" s="4">
        <v>111742</v>
      </c>
      <c r="I17" s="4"/>
    </row>
    <row r="18" spans="1:9" ht="15.75" customHeight="1" x14ac:dyDescent="0.25">
      <c r="A18" s="19" t="s">
        <v>38</v>
      </c>
      <c r="B18" s="19" t="s">
        <v>47</v>
      </c>
      <c r="C18" s="19" t="s">
        <v>154</v>
      </c>
      <c r="D18" s="3" t="s">
        <v>351</v>
      </c>
      <c r="E18" s="5" t="s">
        <v>399</v>
      </c>
      <c r="F18" s="4">
        <f t="shared" si="0"/>
        <v>131475</v>
      </c>
      <c r="G18" s="4">
        <v>131388</v>
      </c>
      <c r="H18" s="4">
        <v>99355</v>
      </c>
      <c r="I18" s="4">
        <v>87</v>
      </c>
    </row>
    <row r="19" spans="1:9" ht="33" customHeight="1" x14ac:dyDescent="0.25">
      <c r="A19" s="19" t="s">
        <v>39</v>
      </c>
      <c r="B19" s="19" t="s">
        <v>47</v>
      </c>
      <c r="C19" s="19" t="s">
        <v>154</v>
      </c>
      <c r="D19" s="3" t="s">
        <v>352</v>
      </c>
      <c r="E19" s="5" t="s">
        <v>399</v>
      </c>
      <c r="F19" s="4">
        <f t="shared" si="0"/>
        <v>214806</v>
      </c>
      <c r="G19" s="4">
        <v>214806</v>
      </c>
      <c r="H19" s="4">
        <v>161617</v>
      </c>
      <c r="I19" s="4"/>
    </row>
    <row r="20" spans="1:9" ht="15.75" customHeight="1" x14ac:dyDescent="0.25">
      <c r="A20" s="19" t="s">
        <v>40</v>
      </c>
      <c r="B20" s="19" t="s">
        <v>47</v>
      </c>
      <c r="C20" s="19" t="s">
        <v>154</v>
      </c>
      <c r="D20" s="2" t="s">
        <v>353</v>
      </c>
      <c r="E20" s="5" t="s">
        <v>399</v>
      </c>
      <c r="F20" s="4">
        <f t="shared" si="0"/>
        <v>184375</v>
      </c>
      <c r="G20" s="4">
        <v>184375</v>
      </c>
      <c r="H20" s="4">
        <v>138990</v>
      </c>
      <c r="I20" s="4"/>
    </row>
    <row r="21" spans="1:9" ht="15.75" customHeight="1" x14ac:dyDescent="0.25">
      <c r="A21" s="19" t="s">
        <v>41</v>
      </c>
      <c r="B21" s="19" t="s">
        <v>47</v>
      </c>
      <c r="C21" s="19" t="s">
        <v>154</v>
      </c>
      <c r="D21" s="2" t="s">
        <v>354</v>
      </c>
      <c r="E21" s="5" t="s">
        <v>399</v>
      </c>
      <c r="F21" s="4">
        <f t="shared" si="0"/>
        <v>154760</v>
      </c>
      <c r="G21" s="4">
        <v>154760</v>
      </c>
      <c r="H21" s="4">
        <v>116537</v>
      </c>
      <c r="I21" s="4"/>
    </row>
    <row r="22" spans="1:9" ht="15.75" customHeight="1" x14ac:dyDescent="0.25">
      <c r="A22" s="19" t="s">
        <v>42</v>
      </c>
      <c r="B22" s="19" t="s">
        <v>47</v>
      </c>
      <c r="C22" s="19" t="s">
        <v>154</v>
      </c>
      <c r="D22" s="2" t="s">
        <v>355</v>
      </c>
      <c r="E22" s="5" t="s">
        <v>399</v>
      </c>
      <c r="F22" s="4">
        <f t="shared" si="0"/>
        <v>149313</v>
      </c>
      <c r="G22" s="4">
        <v>149313</v>
      </c>
      <c r="H22" s="4">
        <v>112596</v>
      </c>
      <c r="I22" s="4"/>
    </row>
    <row r="23" spans="1:9" ht="15.75" customHeight="1" x14ac:dyDescent="0.25">
      <c r="A23" s="19" t="s">
        <v>43</v>
      </c>
      <c r="B23" s="19" t="s">
        <v>47</v>
      </c>
      <c r="C23" s="19" t="s">
        <v>154</v>
      </c>
      <c r="D23" s="4" t="s">
        <v>356</v>
      </c>
      <c r="E23" s="5" t="s">
        <v>399</v>
      </c>
      <c r="F23" s="4">
        <f t="shared" si="0"/>
        <v>263683</v>
      </c>
      <c r="G23" s="4">
        <v>263683</v>
      </c>
      <c r="H23" s="4">
        <v>198044</v>
      </c>
      <c r="I23" s="4"/>
    </row>
    <row r="24" spans="1:9" ht="15.75" customHeight="1" x14ac:dyDescent="0.25">
      <c r="A24" s="19" t="s">
        <v>44</v>
      </c>
      <c r="B24" s="19" t="s">
        <v>47</v>
      </c>
      <c r="C24" s="19" t="s">
        <v>154</v>
      </c>
      <c r="D24" s="4" t="s">
        <v>357</v>
      </c>
      <c r="E24" s="5" t="s">
        <v>399</v>
      </c>
      <c r="F24" s="4">
        <f t="shared" si="0"/>
        <v>225645</v>
      </c>
      <c r="G24" s="4">
        <v>225645</v>
      </c>
      <c r="H24" s="4">
        <v>169870</v>
      </c>
      <c r="I24" s="4"/>
    </row>
    <row r="25" spans="1:9" ht="15.75" customHeight="1" x14ac:dyDescent="0.25">
      <c r="A25" s="19" t="s">
        <v>45</v>
      </c>
      <c r="B25" s="19" t="s">
        <v>47</v>
      </c>
      <c r="C25" s="19" t="s">
        <v>154</v>
      </c>
      <c r="D25" s="4" t="s">
        <v>306</v>
      </c>
      <c r="E25" s="5" t="s">
        <v>399</v>
      </c>
      <c r="F25" s="4">
        <f t="shared" si="0"/>
        <v>436516</v>
      </c>
      <c r="G25" s="4">
        <v>436516</v>
      </c>
      <c r="H25" s="4">
        <v>327318</v>
      </c>
      <c r="I25" s="4"/>
    </row>
    <row r="26" spans="1:9" ht="15.75" customHeight="1" x14ac:dyDescent="0.25">
      <c r="A26" s="19" t="s">
        <v>46</v>
      </c>
      <c r="B26" s="19" t="s">
        <v>47</v>
      </c>
      <c r="C26" s="19" t="s">
        <v>154</v>
      </c>
      <c r="D26" s="3" t="s">
        <v>359</v>
      </c>
      <c r="E26" s="5" t="s">
        <v>399</v>
      </c>
      <c r="F26" s="4">
        <f t="shared" si="0"/>
        <v>418416</v>
      </c>
      <c r="G26" s="4">
        <v>418416</v>
      </c>
      <c r="H26" s="4">
        <v>312350</v>
      </c>
      <c r="I26" s="4"/>
    </row>
    <row r="27" spans="1:9" ht="15.75" customHeight="1" x14ac:dyDescent="0.25">
      <c r="A27" s="19" t="s">
        <v>47</v>
      </c>
      <c r="B27" s="19" t="s">
        <v>47</v>
      </c>
      <c r="C27" s="19" t="s">
        <v>154</v>
      </c>
      <c r="D27" s="3" t="s">
        <v>358</v>
      </c>
      <c r="E27" s="5" t="s">
        <v>399</v>
      </c>
      <c r="F27" s="4">
        <f t="shared" si="0"/>
        <v>964980</v>
      </c>
      <c r="G27" s="4">
        <v>964980</v>
      </c>
      <c r="H27" s="4">
        <v>722606</v>
      </c>
      <c r="I27" s="4"/>
    </row>
    <row r="28" spans="1:9" ht="15.75" customHeight="1" x14ac:dyDescent="0.25">
      <c r="A28" s="19" t="s">
        <v>48</v>
      </c>
      <c r="B28" s="19" t="s">
        <v>47</v>
      </c>
      <c r="C28" s="19" t="s">
        <v>154</v>
      </c>
      <c r="D28" s="3" t="s">
        <v>26</v>
      </c>
      <c r="E28" s="4" t="s">
        <v>179</v>
      </c>
      <c r="F28" s="4">
        <f t="shared" si="0"/>
        <v>43520</v>
      </c>
      <c r="G28" s="4">
        <v>43520</v>
      </c>
      <c r="H28" s="4">
        <v>33226</v>
      </c>
      <c r="I28" s="4"/>
    </row>
    <row r="29" spans="1:9" ht="15.75" customHeight="1" x14ac:dyDescent="0.25">
      <c r="A29" s="19" t="s">
        <v>49</v>
      </c>
      <c r="B29" s="19">
        <v>15</v>
      </c>
      <c r="C29" s="19" t="s">
        <v>154</v>
      </c>
      <c r="D29" s="8" t="s">
        <v>8</v>
      </c>
      <c r="E29" s="12" t="s">
        <v>375</v>
      </c>
      <c r="F29" s="4">
        <f t="shared" si="0"/>
        <v>31490</v>
      </c>
      <c r="G29" s="4">
        <v>31490</v>
      </c>
      <c r="H29" s="4"/>
      <c r="I29" s="4"/>
    </row>
    <row r="30" spans="1:9" ht="15.75" customHeight="1" x14ac:dyDescent="0.25">
      <c r="A30" s="19" t="s">
        <v>50</v>
      </c>
      <c r="B30" s="19">
        <v>15</v>
      </c>
      <c r="C30" s="19" t="s">
        <v>154</v>
      </c>
      <c r="D30" s="8" t="s">
        <v>8</v>
      </c>
      <c r="E30" s="5" t="s">
        <v>399</v>
      </c>
      <c r="F30" s="4">
        <f t="shared" si="0"/>
        <v>63910</v>
      </c>
      <c r="G30" s="4">
        <v>63910</v>
      </c>
      <c r="H30" s="4"/>
      <c r="I30" s="4"/>
    </row>
    <row r="31" spans="1:9" ht="0.75" customHeight="1" x14ac:dyDescent="0.25">
      <c r="A31" s="19" t="s">
        <v>51</v>
      </c>
      <c r="B31" s="220" t="s">
        <v>328</v>
      </c>
      <c r="C31" s="221"/>
      <c r="D31" s="221"/>
      <c r="E31" s="222"/>
      <c r="F31" s="4">
        <f t="shared" si="0"/>
        <v>0</v>
      </c>
      <c r="G31" s="4"/>
      <c r="H31" s="4"/>
      <c r="I31" s="4"/>
    </row>
    <row r="32" spans="1:9" ht="16.5" customHeight="1" x14ac:dyDescent="0.25">
      <c r="A32" s="19" t="s">
        <v>52</v>
      </c>
      <c r="B32" s="260" t="s">
        <v>360</v>
      </c>
      <c r="C32" s="261"/>
      <c r="D32" s="261"/>
      <c r="E32" s="262"/>
      <c r="F32" s="6">
        <f>SUM(G32,I32)</f>
        <v>3993295</v>
      </c>
      <c r="G32" s="6">
        <f>SUM(G13:G30)</f>
        <v>3993208</v>
      </c>
      <c r="H32" s="6">
        <f>SUM(H13:H30)</f>
        <v>2922857</v>
      </c>
      <c r="I32" s="6">
        <f>SUM(I13:I30)</f>
        <v>87</v>
      </c>
    </row>
    <row r="34" spans="5:5" x14ac:dyDescent="0.25">
      <c r="E34" s="39"/>
    </row>
  </sheetData>
  <mergeCells count="18">
    <mergeCell ref="E4:H4"/>
    <mergeCell ref="E1:H1"/>
    <mergeCell ref="E3:H3"/>
    <mergeCell ref="A9:A12"/>
    <mergeCell ref="B9:B12"/>
    <mergeCell ref="C9:C12"/>
    <mergeCell ref="D9:D12"/>
    <mergeCell ref="C7:H7"/>
    <mergeCell ref="D8:H8"/>
    <mergeCell ref="G10:H10"/>
    <mergeCell ref="G11:G12"/>
    <mergeCell ref="H11:H12"/>
    <mergeCell ref="B31:E31"/>
    <mergeCell ref="B32:E32"/>
    <mergeCell ref="I10:I12"/>
    <mergeCell ref="E9:E12"/>
    <mergeCell ref="F9:F12"/>
    <mergeCell ref="G9:H9"/>
  </mergeCells>
  <phoneticPr fontId="0" type="noConversion"/>
  <pageMargins left="0.35433070866141736" right="0.19685039370078741" top="0.78740157480314965" bottom="0" header="0.51181102362204722" footer="0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O13" sqref="O13"/>
    </sheetView>
  </sheetViews>
  <sheetFormatPr defaultColWidth="9.140625" defaultRowHeight="15.75" x14ac:dyDescent="0.25"/>
  <cols>
    <col min="1" max="3" width="9.140625" style="46"/>
    <col min="4" max="4" width="6.42578125" style="46" customWidth="1"/>
    <col min="5" max="5" width="9.140625" style="46"/>
    <col min="6" max="6" width="12.28515625" style="46" customWidth="1"/>
    <col min="7" max="7" width="9.140625" style="46"/>
    <col min="8" max="8" width="10.85546875" style="46" customWidth="1"/>
    <col min="9" max="9" width="12" style="46" customWidth="1"/>
    <col min="10" max="10" width="9.5703125" style="46" bestFit="1" customWidth="1"/>
    <col min="11" max="11" width="12.7109375" style="46" bestFit="1" customWidth="1"/>
    <col min="12" max="12" width="9.140625" style="46"/>
    <col min="13" max="13" width="10.85546875" style="46" bestFit="1" customWidth="1"/>
    <col min="14" max="16384" width="9.140625" style="46"/>
  </cols>
  <sheetData>
    <row r="1" spans="1:9" ht="18.75" customHeight="1" x14ac:dyDescent="0.25">
      <c r="F1" s="208" t="s">
        <v>76</v>
      </c>
      <c r="G1" s="208"/>
      <c r="H1" s="208"/>
      <c r="I1" s="208"/>
    </row>
    <row r="2" spans="1:9" ht="18.75" customHeight="1" x14ac:dyDescent="0.25">
      <c r="F2" s="208" t="s">
        <v>447</v>
      </c>
      <c r="G2" s="208"/>
      <c r="H2" s="208"/>
      <c r="I2" s="208"/>
    </row>
    <row r="3" spans="1:9" ht="18.75" customHeight="1" x14ac:dyDescent="0.25">
      <c r="F3" s="266" t="s">
        <v>315</v>
      </c>
      <c r="G3" s="266"/>
      <c r="H3" s="266"/>
      <c r="I3" s="266"/>
    </row>
    <row r="4" spans="1:9" ht="18.75" customHeight="1" x14ac:dyDescent="0.25">
      <c r="F4" s="204" t="s">
        <v>466</v>
      </c>
      <c r="G4" s="204"/>
      <c r="H4" s="34"/>
      <c r="I4" s="16"/>
    </row>
    <row r="5" spans="1:9" ht="18.75" customHeight="1" x14ac:dyDescent="0.25">
      <c r="F5" s="1" t="s">
        <v>326</v>
      </c>
      <c r="G5" s="1"/>
      <c r="H5" s="1"/>
      <c r="I5" s="16"/>
    </row>
    <row r="6" spans="1:9" ht="16.5" customHeight="1" x14ac:dyDescent="0.25">
      <c r="A6" s="271" t="s">
        <v>411</v>
      </c>
      <c r="B6" s="271"/>
      <c r="C6" s="271"/>
      <c r="D6" s="271"/>
      <c r="E6" s="271"/>
      <c r="F6" s="271"/>
      <c r="G6" s="271"/>
      <c r="H6" s="271"/>
      <c r="I6" s="271"/>
    </row>
    <row r="7" spans="1:9" ht="15.75" customHeight="1" x14ac:dyDescent="0.25">
      <c r="A7" s="250" t="s">
        <v>118</v>
      </c>
      <c r="B7" s="250"/>
      <c r="C7" s="250"/>
      <c r="D7" s="250"/>
      <c r="E7" s="250"/>
      <c r="F7" s="250"/>
      <c r="G7" s="250"/>
      <c r="H7" s="250"/>
      <c r="I7" s="250"/>
    </row>
    <row r="8" spans="1:9" ht="18.75" customHeight="1" x14ac:dyDescent="0.25">
      <c r="A8" s="49"/>
      <c r="B8" s="49"/>
      <c r="C8" s="49"/>
      <c r="D8" s="49"/>
      <c r="E8" s="49"/>
      <c r="F8" s="49"/>
      <c r="G8" s="49"/>
      <c r="H8" s="49"/>
      <c r="I8" s="84" t="s">
        <v>402</v>
      </c>
    </row>
    <row r="9" spans="1:9" ht="66" customHeight="1" x14ac:dyDescent="0.25">
      <c r="A9" s="278" t="s">
        <v>418</v>
      </c>
      <c r="B9" s="279"/>
      <c r="C9" s="279"/>
      <c r="D9" s="279"/>
      <c r="E9" s="279"/>
      <c r="F9" s="279"/>
      <c r="G9" s="279"/>
      <c r="H9" s="280"/>
      <c r="I9" s="135" t="s">
        <v>416</v>
      </c>
    </row>
    <row r="10" spans="1:9" ht="20.25" customHeight="1" x14ac:dyDescent="0.25">
      <c r="A10" s="282" t="s">
        <v>95</v>
      </c>
      <c r="B10" s="282"/>
      <c r="C10" s="282"/>
      <c r="D10" s="282"/>
      <c r="E10" s="282"/>
      <c r="F10" s="282"/>
      <c r="G10" s="282"/>
      <c r="H10" s="283"/>
      <c r="I10" s="138"/>
    </row>
    <row r="11" spans="1:9" ht="18" customHeight="1" x14ac:dyDescent="0.25">
      <c r="A11" s="281" t="s">
        <v>308</v>
      </c>
      <c r="B11" s="281"/>
      <c r="C11" s="281"/>
      <c r="D11" s="281"/>
      <c r="E11" s="281"/>
      <c r="F11" s="281"/>
      <c r="G11" s="281"/>
      <c r="H11" s="281"/>
      <c r="I11" s="136">
        <v>13900</v>
      </c>
    </row>
    <row r="12" spans="1:9" ht="18" customHeight="1" x14ac:dyDescent="0.25">
      <c r="A12" s="281" t="s">
        <v>309</v>
      </c>
      <c r="B12" s="281"/>
      <c r="C12" s="281"/>
      <c r="D12" s="281"/>
      <c r="E12" s="281"/>
      <c r="F12" s="281"/>
      <c r="G12" s="281"/>
      <c r="H12" s="281"/>
      <c r="I12" s="136">
        <v>15350</v>
      </c>
    </row>
    <row r="13" spans="1:9" ht="18" customHeight="1" x14ac:dyDescent="0.25">
      <c r="A13" s="281" t="s">
        <v>310</v>
      </c>
      <c r="B13" s="281"/>
      <c r="C13" s="281"/>
      <c r="D13" s="281"/>
      <c r="E13" s="281"/>
      <c r="F13" s="281"/>
      <c r="G13" s="281"/>
      <c r="H13" s="281"/>
      <c r="I13" s="136">
        <v>4056</v>
      </c>
    </row>
    <row r="14" spans="1:9" ht="18" customHeight="1" x14ac:dyDescent="0.25">
      <c r="A14" s="284" t="s">
        <v>316</v>
      </c>
      <c r="B14" s="284"/>
      <c r="C14" s="284"/>
      <c r="D14" s="284"/>
      <c r="E14" s="284"/>
      <c r="F14" s="284"/>
      <c r="G14" s="284"/>
      <c r="H14" s="284"/>
      <c r="I14" s="137">
        <v>86556</v>
      </c>
    </row>
    <row r="15" spans="1:9" ht="18" customHeight="1" x14ac:dyDescent="0.25">
      <c r="A15" s="270" t="s">
        <v>96</v>
      </c>
      <c r="B15" s="270"/>
      <c r="C15" s="270"/>
      <c r="D15" s="270"/>
      <c r="E15" s="270"/>
      <c r="F15" s="270"/>
      <c r="G15" s="270"/>
      <c r="H15" s="270"/>
      <c r="I15" s="86"/>
    </row>
    <row r="16" spans="1:9" ht="18" customHeight="1" x14ac:dyDescent="0.25">
      <c r="A16" s="272" t="s">
        <v>97</v>
      </c>
      <c r="B16" s="273"/>
      <c r="C16" s="273"/>
      <c r="D16" s="273"/>
      <c r="E16" s="273"/>
      <c r="F16" s="273"/>
      <c r="G16" s="273"/>
      <c r="H16" s="274"/>
      <c r="I16" s="85">
        <f>SUM(I17:I18,I19)</f>
        <v>7841</v>
      </c>
    </row>
    <row r="17" spans="1:9" ht="18" customHeight="1" x14ac:dyDescent="0.25">
      <c r="A17" s="275" t="s">
        <v>381</v>
      </c>
      <c r="B17" s="276"/>
      <c r="C17" s="276"/>
      <c r="D17" s="276"/>
      <c r="E17" s="276"/>
      <c r="F17" s="276"/>
      <c r="G17" s="276"/>
      <c r="H17" s="277"/>
      <c r="I17" s="136">
        <v>4000</v>
      </c>
    </row>
    <row r="18" spans="1:9" ht="18" customHeight="1" x14ac:dyDescent="0.25">
      <c r="A18" s="275" t="s">
        <v>382</v>
      </c>
      <c r="B18" s="276"/>
      <c r="C18" s="276"/>
      <c r="D18" s="276"/>
      <c r="E18" s="276"/>
      <c r="F18" s="276"/>
      <c r="G18" s="276"/>
      <c r="H18" s="277"/>
      <c r="I18" s="136">
        <v>3000</v>
      </c>
    </row>
    <row r="19" spans="1:9" ht="18" customHeight="1" x14ac:dyDescent="0.25">
      <c r="A19" s="275" t="s">
        <v>426</v>
      </c>
      <c r="B19" s="276"/>
      <c r="C19" s="276"/>
      <c r="D19" s="276"/>
      <c r="E19" s="276"/>
      <c r="F19" s="276"/>
      <c r="G19" s="276"/>
      <c r="H19" s="277"/>
      <c r="I19" s="136">
        <f>1131-290</f>
        <v>841</v>
      </c>
    </row>
    <row r="20" spans="1:9" ht="18" customHeight="1" x14ac:dyDescent="0.25">
      <c r="A20" s="272" t="s">
        <v>98</v>
      </c>
      <c r="B20" s="273"/>
      <c r="C20" s="273"/>
      <c r="D20" s="273"/>
      <c r="E20" s="273"/>
      <c r="F20" s="273"/>
      <c r="G20" s="273"/>
      <c r="H20" s="274"/>
      <c r="I20" s="85">
        <f>SUM(I21:I22)</f>
        <v>5500</v>
      </c>
    </row>
    <row r="21" spans="1:9" ht="33" customHeight="1" x14ac:dyDescent="0.25">
      <c r="A21" s="267" t="s">
        <v>383</v>
      </c>
      <c r="B21" s="268"/>
      <c r="C21" s="268"/>
      <c r="D21" s="268"/>
      <c r="E21" s="268"/>
      <c r="F21" s="268"/>
      <c r="G21" s="268"/>
      <c r="H21" s="269"/>
      <c r="I21" s="136">
        <v>1500</v>
      </c>
    </row>
    <row r="22" spans="1:9" ht="30.75" customHeight="1" x14ac:dyDescent="0.25">
      <c r="A22" s="267" t="s">
        <v>384</v>
      </c>
      <c r="B22" s="268"/>
      <c r="C22" s="268"/>
      <c r="D22" s="268"/>
      <c r="E22" s="268"/>
      <c r="F22" s="268"/>
      <c r="G22" s="268"/>
      <c r="H22" s="269"/>
      <c r="I22" s="136">
        <v>4000</v>
      </c>
    </row>
    <row r="23" spans="1:9" ht="19.5" customHeight="1" x14ac:dyDescent="0.25">
      <c r="A23" s="298" t="s">
        <v>99</v>
      </c>
      <c r="B23" s="299"/>
      <c r="C23" s="299"/>
      <c r="D23" s="299"/>
      <c r="E23" s="299"/>
      <c r="F23" s="299"/>
      <c r="G23" s="299"/>
      <c r="H23" s="300"/>
      <c r="I23" s="85">
        <f>SUM(I24:I28)</f>
        <v>6081</v>
      </c>
    </row>
    <row r="24" spans="1:9" ht="21" customHeight="1" x14ac:dyDescent="0.25">
      <c r="A24" s="224" t="s">
        <v>345</v>
      </c>
      <c r="B24" s="225"/>
      <c r="C24" s="225"/>
      <c r="D24" s="225"/>
      <c r="E24" s="225"/>
      <c r="F24" s="225"/>
      <c r="G24" s="225"/>
      <c r="H24" s="226"/>
      <c r="I24" s="139">
        <v>1300</v>
      </c>
    </row>
    <row r="25" spans="1:9" ht="30.75" customHeight="1" x14ac:dyDescent="0.25">
      <c r="A25" s="224" t="s">
        <v>427</v>
      </c>
      <c r="B25" s="225"/>
      <c r="C25" s="225"/>
      <c r="D25" s="225"/>
      <c r="E25" s="225"/>
      <c r="F25" s="225"/>
      <c r="G25" s="225"/>
      <c r="H25" s="226"/>
      <c r="I25" s="140">
        <v>870</v>
      </c>
    </row>
    <row r="26" spans="1:9" ht="18.75" customHeight="1" x14ac:dyDescent="0.25">
      <c r="A26" s="295" t="s">
        <v>428</v>
      </c>
      <c r="B26" s="296"/>
      <c r="C26" s="296"/>
      <c r="D26" s="296"/>
      <c r="E26" s="296"/>
      <c r="F26" s="296"/>
      <c r="G26" s="296"/>
      <c r="H26" s="297"/>
      <c r="I26" s="19">
        <v>3186</v>
      </c>
    </row>
    <row r="27" spans="1:9" ht="30" customHeight="1" x14ac:dyDescent="0.25">
      <c r="A27" s="224" t="s">
        <v>467</v>
      </c>
      <c r="B27" s="225"/>
      <c r="C27" s="225"/>
      <c r="D27" s="225"/>
      <c r="E27" s="225"/>
      <c r="F27" s="225"/>
      <c r="G27" s="225"/>
      <c r="H27" s="226"/>
      <c r="I27" s="194">
        <v>435</v>
      </c>
    </row>
    <row r="28" spans="1:9" ht="29.25" customHeight="1" x14ac:dyDescent="0.25">
      <c r="A28" s="225" t="s">
        <v>468</v>
      </c>
      <c r="B28" s="225"/>
      <c r="C28" s="225"/>
      <c r="D28" s="225"/>
      <c r="E28" s="225"/>
      <c r="F28" s="225"/>
      <c r="G28" s="225"/>
      <c r="H28" s="226"/>
      <c r="I28" s="207">
        <v>290</v>
      </c>
    </row>
    <row r="29" spans="1:9" ht="18" customHeight="1" x14ac:dyDescent="0.25">
      <c r="A29" s="286" t="s">
        <v>100</v>
      </c>
      <c r="B29" s="287"/>
      <c r="C29" s="287"/>
      <c r="D29" s="287"/>
      <c r="E29" s="287"/>
      <c r="F29" s="287"/>
      <c r="G29" s="287"/>
      <c r="H29" s="288"/>
      <c r="I29" s="191">
        <f>SUM(I30)</f>
        <v>5024</v>
      </c>
    </row>
    <row r="30" spans="1:9" ht="18.75" customHeight="1" x14ac:dyDescent="0.25">
      <c r="A30" s="289" t="s">
        <v>297</v>
      </c>
      <c r="B30" s="290"/>
      <c r="C30" s="290"/>
      <c r="D30" s="290"/>
      <c r="E30" s="290"/>
      <c r="F30" s="290"/>
      <c r="G30" s="290"/>
      <c r="H30" s="291"/>
      <c r="I30" s="86">
        <v>5024</v>
      </c>
    </row>
    <row r="31" spans="1:9" ht="18.75" customHeight="1" x14ac:dyDescent="0.25">
      <c r="A31" s="272" t="s">
        <v>101</v>
      </c>
      <c r="B31" s="273"/>
      <c r="C31" s="273"/>
      <c r="D31" s="273"/>
      <c r="E31" s="273"/>
      <c r="F31" s="273"/>
      <c r="G31" s="273"/>
      <c r="H31" s="274"/>
      <c r="I31" s="85">
        <f>SUM(I32:I34)</f>
        <v>58820</v>
      </c>
    </row>
    <row r="32" spans="1:9" ht="24" customHeight="1" x14ac:dyDescent="0.25">
      <c r="A32" s="141" t="s">
        <v>385</v>
      </c>
      <c r="B32" s="142"/>
      <c r="C32" s="142"/>
      <c r="D32" s="142"/>
      <c r="E32" s="142"/>
      <c r="F32" s="142"/>
      <c r="G32" s="142"/>
      <c r="H32" s="143"/>
      <c r="I32" s="144">
        <v>8700</v>
      </c>
    </row>
    <row r="33" spans="1:13" ht="34.5" customHeight="1" x14ac:dyDescent="0.25">
      <c r="A33" s="278" t="s">
        <v>387</v>
      </c>
      <c r="B33" s="279"/>
      <c r="C33" s="279"/>
      <c r="D33" s="279"/>
      <c r="E33" s="279"/>
      <c r="F33" s="279"/>
      <c r="G33" s="279"/>
      <c r="H33" s="279"/>
      <c r="I33" s="19">
        <v>17400</v>
      </c>
    </row>
    <row r="34" spans="1:13" ht="34.5" customHeight="1" x14ac:dyDescent="0.25">
      <c r="A34" s="292" t="s">
        <v>386</v>
      </c>
      <c r="B34" s="276"/>
      <c r="C34" s="276"/>
      <c r="D34" s="276"/>
      <c r="E34" s="276"/>
      <c r="F34" s="276"/>
      <c r="G34" s="276"/>
      <c r="H34" s="277"/>
      <c r="I34" s="145">
        <v>32720</v>
      </c>
    </row>
    <row r="35" spans="1:13" ht="22.5" customHeight="1" x14ac:dyDescent="0.25">
      <c r="A35" s="272" t="s">
        <v>102</v>
      </c>
      <c r="B35" s="273"/>
      <c r="C35" s="273"/>
      <c r="D35" s="273"/>
      <c r="E35" s="273"/>
      <c r="F35" s="273"/>
      <c r="G35" s="273"/>
      <c r="H35" s="274"/>
      <c r="I35" s="85">
        <f>SUM(I36:I39)</f>
        <v>3290</v>
      </c>
    </row>
    <row r="36" spans="1:13" ht="31.5" customHeight="1" x14ac:dyDescent="0.25">
      <c r="A36" s="292" t="s">
        <v>429</v>
      </c>
      <c r="B36" s="293"/>
      <c r="C36" s="293"/>
      <c r="D36" s="293"/>
      <c r="E36" s="293"/>
      <c r="F36" s="293"/>
      <c r="G36" s="293"/>
      <c r="H36" s="294"/>
      <c r="I36" s="136">
        <v>200</v>
      </c>
    </row>
    <row r="37" spans="1:13" ht="31.5" customHeight="1" x14ac:dyDescent="0.25">
      <c r="A37" s="292" t="s">
        <v>430</v>
      </c>
      <c r="B37" s="293"/>
      <c r="C37" s="293"/>
      <c r="D37" s="293"/>
      <c r="E37" s="293"/>
      <c r="F37" s="293"/>
      <c r="G37" s="293"/>
      <c r="H37" s="294"/>
      <c r="I37" s="136">
        <v>290</v>
      </c>
    </row>
    <row r="38" spans="1:13" ht="17.25" customHeight="1" x14ac:dyDescent="0.25">
      <c r="A38" s="275" t="s">
        <v>388</v>
      </c>
      <c r="B38" s="276"/>
      <c r="C38" s="276"/>
      <c r="D38" s="276"/>
      <c r="E38" s="276"/>
      <c r="F38" s="276"/>
      <c r="G38" s="276"/>
      <c r="H38" s="277"/>
      <c r="I38" s="136">
        <v>1000</v>
      </c>
    </row>
    <row r="39" spans="1:13" ht="17.25" customHeight="1" x14ac:dyDescent="0.25">
      <c r="A39" s="275" t="s">
        <v>389</v>
      </c>
      <c r="B39" s="276"/>
      <c r="C39" s="276"/>
      <c r="D39" s="276"/>
      <c r="E39" s="276"/>
      <c r="F39" s="276"/>
      <c r="G39" s="276"/>
      <c r="H39" s="277"/>
      <c r="I39" s="136">
        <v>1800</v>
      </c>
    </row>
    <row r="40" spans="1:13" ht="21" customHeight="1" x14ac:dyDescent="0.25">
      <c r="A40" s="284" t="s">
        <v>319</v>
      </c>
      <c r="B40" s="284"/>
      <c r="C40" s="284"/>
      <c r="D40" s="284"/>
      <c r="E40" s="284"/>
      <c r="F40" s="284"/>
      <c r="G40" s="284"/>
      <c r="H40" s="284"/>
      <c r="I40" s="85">
        <f>SUM(I16,I20,I23,I29,I31,I35)</f>
        <v>86556</v>
      </c>
      <c r="K40" s="88"/>
      <c r="M40" s="87"/>
    </row>
    <row r="41" spans="1:13" x14ac:dyDescent="0.25">
      <c r="A41" s="285"/>
      <c r="B41" s="285"/>
      <c r="C41" s="285"/>
      <c r="D41" s="285"/>
      <c r="E41" s="285"/>
      <c r="F41" s="285"/>
      <c r="G41" s="285"/>
      <c r="H41" s="285"/>
      <c r="I41" s="89"/>
    </row>
  </sheetData>
  <mergeCells count="37">
    <mergeCell ref="A26:H26"/>
    <mergeCell ref="A19:H19"/>
    <mergeCell ref="A24:H24"/>
    <mergeCell ref="A21:H21"/>
    <mergeCell ref="A28:H28"/>
    <mergeCell ref="A25:H25"/>
    <mergeCell ref="A23:H23"/>
    <mergeCell ref="A27:H27"/>
    <mergeCell ref="A20:H20"/>
    <mergeCell ref="A41:H41"/>
    <mergeCell ref="A40:H40"/>
    <mergeCell ref="A35:H35"/>
    <mergeCell ref="A29:H29"/>
    <mergeCell ref="A30:H30"/>
    <mergeCell ref="A31:H31"/>
    <mergeCell ref="A36:H36"/>
    <mergeCell ref="A38:H38"/>
    <mergeCell ref="A39:H39"/>
    <mergeCell ref="A37:H37"/>
    <mergeCell ref="A33:H33"/>
    <mergeCell ref="A34:H34"/>
    <mergeCell ref="F1:I1"/>
    <mergeCell ref="F3:I3"/>
    <mergeCell ref="A22:H22"/>
    <mergeCell ref="F2:I2"/>
    <mergeCell ref="A15:H15"/>
    <mergeCell ref="A6:I6"/>
    <mergeCell ref="A7:I7"/>
    <mergeCell ref="A16:H16"/>
    <mergeCell ref="A17:H17"/>
    <mergeCell ref="A9:H9"/>
    <mergeCell ref="A12:H12"/>
    <mergeCell ref="A11:H11"/>
    <mergeCell ref="A10:H10"/>
    <mergeCell ref="A13:H13"/>
    <mergeCell ref="A14:H14"/>
    <mergeCell ref="A18:H18"/>
  </mergeCells>
  <phoneticPr fontId="0" type="noConversion"/>
  <pageMargins left="1.1417322834645669" right="0.35433070866141736" top="0.19685039370078741" bottom="0.19685039370078741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K24" sqref="K24"/>
    </sheetView>
  </sheetViews>
  <sheetFormatPr defaultColWidth="9.140625" defaultRowHeight="16.5" x14ac:dyDescent="0.25"/>
  <cols>
    <col min="1" max="1" width="6.85546875" style="1" customWidth="1"/>
    <col min="2" max="2" width="6.42578125" style="1" customWidth="1"/>
    <col min="3" max="3" width="39.5703125" style="1" customWidth="1"/>
    <col min="4" max="4" width="14" style="1" customWidth="1"/>
    <col min="5" max="5" width="11.42578125" style="1" customWidth="1"/>
    <col min="6" max="6" width="12.28515625" style="1" customWidth="1"/>
    <col min="7" max="7" width="17.85546875" style="1" customWidth="1"/>
    <col min="8" max="8" width="13.7109375" style="1" customWidth="1"/>
    <col min="9" max="10" width="9.140625" style="1"/>
    <col min="11" max="12" width="10.85546875" style="1" bestFit="1" customWidth="1"/>
    <col min="13" max="16384" width="9.140625" style="1"/>
  </cols>
  <sheetData>
    <row r="1" spans="1:12" x14ac:dyDescent="0.25">
      <c r="F1" s="208" t="s">
        <v>365</v>
      </c>
      <c r="G1" s="208"/>
      <c r="H1" s="208"/>
    </row>
    <row r="2" spans="1:12" x14ac:dyDescent="0.25">
      <c r="F2" s="208" t="s">
        <v>447</v>
      </c>
      <c r="G2" s="208"/>
      <c r="H2" s="208"/>
      <c r="I2" s="208"/>
    </row>
    <row r="3" spans="1:12" x14ac:dyDescent="0.25">
      <c r="F3" s="16" t="s">
        <v>366</v>
      </c>
      <c r="G3" s="16"/>
      <c r="H3" s="16"/>
    </row>
    <row r="4" spans="1:12" ht="15" customHeight="1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12" ht="33.75" customHeight="1" x14ac:dyDescent="0.25">
      <c r="A5" s="16"/>
      <c r="B5" s="16"/>
      <c r="C5" s="302" t="s">
        <v>410</v>
      </c>
      <c r="D5" s="302"/>
      <c r="E5" s="302"/>
      <c r="F5" s="302"/>
      <c r="G5" s="302"/>
      <c r="H5" s="13"/>
      <c r="I5" s="16"/>
    </row>
    <row r="6" spans="1:12" ht="15" customHeight="1" x14ac:dyDescent="0.25">
      <c r="A6" s="265" t="s">
        <v>402</v>
      </c>
      <c r="B6" s="265"/>
      <c r="C6" s="265"/>
      <c r="D6" s="265"/>
      <c r="E6" s="265"/>
      <c r="F6" s="265"/>
      <c r="G6" s="265"/>
      <c r="H6" s="16"/>
      <c r="I6" s="16"/>
    </row>
    <row r="7" spans="1:12" ht="33.75" customHeight="1" x14ac:dyDescent="0.25">
      <c r="A7" s="301" t="s">
        <v>56</v>
      </c>
      <c r="B7" s="263" t="s">
        <v>145</v>
      </c>
      <c r="C7" s="263" t="s">
        <v>221</v>
      </c>
      <c r="D7" s="238" t="s">
        <v>409</v>
      </c>
      <c r="E7" s="301" t="s">
        <v>30</v>
      </c>
      <c r="F7" s="301" t="s">
        <v>31</v>
      </c>
      <c r="G7" s="301" t="s">
        <v>75</v>
      </c>
      <c r="H7" s="301" t="s">
        <v>391</v>
      </c>
      <c r="I7" s="16"/>
    </row>
    <row r="8" spans="1:12" ht="23.25" customHeight="1" x14ac:dyDescent="0.25">
      <c r="A8" s="301"/>
      <c r="B8" s="263"/>
      <c r="C8" s="263"/>
      <c r="D8" s="239"/>
      <c r="E8" s="301"/>
      <c r="F8" s="301"/>
      <c r="G8" s="301"/>
      <c r="H8" s="301"/>
      <c r="I8" s="16"/>
    </row>
    <row r="9" spans="1:12" ht="27" customHeight="1" x14ac:dyDescent="0.25">
      <c r="A9" s="301"/>
      <c r="B9" s="263"/>
      <c r="C9" s="263"/>
      <c r="D9" s="240"/>
      <c r="E9" s="301"/>
      <c r="F9" s="301"/>
      <c r="G9" s="301"/>
      <c r="H9" s="301"/>
      <c r="I9" s="16"/>
    </row>
    <row r="10" spans="1:12" ht="16.5" customHeight="1" x14ac:dyDescent="0.25">
      <c r="A10" s="24" t="s">
        <v>33</v>
      </c>
      <c r="B10" s="25" t="s">
        <v>47</v>
      </c>
      <c r="C10" s="3" t="s">
        <v>348</v>
      </c>
      <c r="D10" s="147"/>
      <c r="E10" s="173"/>
      <c r="F10" s="26"/>
      <c r="G10" s="27">
        <v>4000</v>
      </c>
      <c r="H10" s="177">
        <f t="shared" ref="H10:H23" si="0">SUM(D10:G10)</f>
        <v>4000</v>
      </c>
      <c r="I10" s="16"/>
    </row>
    <row r="11" spans="1:12" ht="16.5" customHeight="1" x14ac:dyDescent="0.25">
      <c r="A11" s="25" t="s">
        <v>34</v>
      </c>
      <c r="B11" s="25" t="s">
        <v>47</v>
      </c>
      <c r="C11" s="3" t="s">
        <v>349</v>
      </c>
      <c r="D11" s="178">
        <v>198</v>
      </c>
      <c r="E11" s="176"/>
      <c r="F11" s="26"/>
      <c r="G11" s="27">
        <v>10150</v>
      </c>
      <c r="H11" s="177">
        <f t="shared" si="0"/>
        <v>10348</v>
      </c>
      <c r="I11" s="16"/>
      <c r="L11" s="174"/>
    </row>
    <row r="12" spans="1:12" ht="16.5" customHeight="1" x14ac:dyDescent="0.25">
      <c r="A12" s="25" t="s">
        <v>35</v>
      </c>
      <c r="B12" s="25" t="s">
        <v>47</v>
      </c>
      <c r="C12" s="11" t="s">
        <v>346</v>
      </c>
      <c r="D12" s="179">
        <v>894</v>
      </c>
      <c r="E12" s="175"/>
      <c r="F12" s="26"/>
      <c r="G12" s="27">
        <v>27800</v>
      </c>
      <c r="H12" s="177">
        <f t="shared" si="0"/>
        <v>28694</v>
      </c>
      <c r="I12" s="16"/>
      <c r="L12" s="174"/>
    </row>
    <row r="13" spans="1:12" ht="16.5" customHeight="1" x14ac:dyDescent="0.25">
      <c r="A13" s="25" t="s">
        <v>36</v>
      </c>
      <c r="B13" s="25" t="s">
        <v>47</v>
      </c>
      <c r="C13" s="3" t="s">
        <v>347</v>
      </c>
      <c r="D13" s="178">
        <v>96</v>
      </c>
      <c r="E13" s="176"/>
      <c r="F13" s="26"/>
      <c r="G13" s="27">
        <v>27500</v>
      </c>
      <c r="H13" s="177">
        <f t="shared" si="0"/>
        <v>27596</v>
      </c>
      <c r="I13" s="16"/>
      <c r="L13" s="174"/>
    </row>
    <row r="14" spans="1:12" ht="16.5" customHeight="1" x14ac:dyDescent="0.25">
      <c r="A14" s="25" t="s">
        <v>37</v>
      </c>
      <c r="B14" s="25" t="s">
        <v>47</v>
      </c>
      <c r="C14" s="3" t="s">
        <v>358</v>
      </c>
      <c r="D14" s="178">
        <v>1131</v>
      </c>
      <c r="E14" s="178">
        <v>225</v>
      </c>
      <c r="F14" s="26">
        <v>7260</v>
      </c>
      <c r="G14" s="27"/>
      <c r="H14" s="177">
        <f t="shared" si="0"/>
        <v>8616</v>
      </c>
      <c r="I14" s="16"/>
      <c r="L14" s="174"/>
    </row>
    <row r="15" spans="1:12" ht="16.5" customHeight="1" x14ac:dyDescent="0.25">
      <c r="A15" s="25" t="s">
        <v>38</v>
      </c>
      <c r="B15" s="25" t="s">
        <v>47</v>
      </c>
      <c r="C15" s="10" t="s">
        <v>306</v>
      </c>
      <c r="D15" s="180">
        <v>133</v>
      </c>
      <c r="E15" s="180"/>
      <c r="F15" s="26"/>
      <c r="G15" s="27">
        <v>400</v>
      </c>
      <c r="H15" s="177">
        <f t="shared" si="0"/>
        <v>533</v>
      </c>
      <c r="I15" s="16"/>
      <c r="L15" s="174"/>
    </row>
    <row r="16" spans="1:12" ht="16.5" customHeight="1" x14ac:dyDescent="0.25">
      <c r="A16" s="25" t="s">
        <v>39</v>
      </c>
      <c r="B16" s="25" t="s">
        <v>47</v>
      </c>
      <c r="C16" s="3" t="s">
        <v>359</v>
      </c>
      <c r="D16" s="178"/>
      <c r="E16" s="178">
        <v>140</v>
      </c>
      <c r="F16" s="26"/>
      <c r="G16" s="134">
        <v>500</v>
      </c>
      <c r="H16" s="177">
        <f t="shared" si="0"/>
        <v>640</v>
      </c>
      <c r="I16" s="16"/>
      <c r="L16" s="174"/>
    </row>
    <row r="17" spans="1:12" ht="16.5" customHeight="1" x14ac:dyDescent="0.25">
      <c r="A17" s="25" t="s">
        <v>40</v>
      </c>
      <c r="B17" s="25" t="s">
        <v>47</v>
      </c>
      <c r="C17" s="4" t="s">
        <v>356</v>
      </c>
      <c r="D17" s="181"/>
      <c r="E17" s="181">
        <v>250</v>
      </c>
      <c r="F17" s="26"/>
      <c r="G17" s="27">
        <v>400</v>
      </c>
      <c r="H17" s="177">
        <f t="shared" si="0"/>
        <v>650</v>
      </c>
      <c r="I17" s="16"/>
      <c r="L17" s="174"/>
    </row>
    <row r="18" spans="1:12" ht="16.5" customHeight="1" x14ac:dyDescent="0.25">
      <c r="A18" s="25" t="s">
        <v>41</v>
      </c>
      <c r="B18" s="25" t="s">
        <v>47</v>
      </c>
      <c r="C18" s="4" t="s">
        <v>357</v>
      </c>
      <c r="D18" s="181"/>
      <c r="E18" s="181">
        <v>100</v>
      </c>
      <c r="F18" s="26"/>
      <c r="G18" s="27">
        <v>260</v>
      </c>
      <c r="H18" s="177">
        <f t="shared" si="0"/>
        <v>360</v>
      </c>
      <c r="I18" s="16"/>
      <c r="L18" s="174"/>
    </row>
    <row r="19" spans="1:12" ht="16.5" customHeight="1" x14ac:dyDescent="0.25">
      <c r="A19" s="25" t="s">
        <v>42</v>
      </c>
      <c r="B19" s="25" t="s">
        <v>47</v>
      </c>
      <c r="C19" s="2" t="s">
        <v>354</v>
      </c>
      <c r="D19" s="182"/>
      <c r="E19" s="182"/>
      <c r="F19" s="26"/>
      <c r="G19" s="27">
        <v>200</v>
      </c>
      <c r="H19" s="177">
        <f t="shared" si="0"/>
        <v>200</v>
      </c>
      <c r="I19" s="16"/>
      <c r="L19" s="174"/>
    </row>
    <row r="20" spans="1:12" ht="16.5" customHeight="1" x14ac:dyDescent="0.25">
      <c r="A20" s="25" t="s">
        <v>43</v>
      </c>
      <c r="B20" s="25" t="s">
        <v>47</v>
      </c>
      <c r="C20" s="2" t="s">
        <v>353</v>
      </c>
      <c r="D20" s="182"/>
      <c r="E20" s="182"/>
      <c r="F20" s="26"/>
      <c r="G20" s="27">
        <v>9000</v>
      </c>
      <c r="H20" s="177">
        <f t="shared" si="0"/>
        <v>9000</v>
      </c>
      <c r="I20" s="16"/>
      <c r="L20" s="174"/>
    </row>
    <row r="21" spans="1:12" ht="16.5" customHeight="1" x14ac:dyDescent="0.25">
      <c r="A21" s="25" t="s">
        <v>44</v>
      </c>
      <c r="B21" s="25" t="s">
        <v>47</v>
      </c>
      <c r="C21" s="10" t="s">
        <v>26</v>
      </c>
      <c r="D21" s="180">
        <v>2320</v>
      </c>
      <c r="E21" s="180"/>
      <c r="F21" s="26"/>
      <c r="G21" s="27">
        <v>35200</v>
      </c>
      <c r="H21" s="177">
        <f t="shared" si="0"/>
        <v>37520</v>
      </c>
      <c r="I21" s="16"/>
      <c r="L21" s="174"/>
    </row>
    <row r="22" spans="1:12" ht="19.5" customHeight="1" x14ac:dyDescent="0.25">
      <c r="A22" s="25" t="s">
        <v>45</v>
      </c>
      <c r="B22" s="25" t="s">
        <v>47</v>
      </c>
      <c r="C22" s="50" t="s">
        <v>352</v>
      </c>
      <c r="D22" s="180"/>
      <c r="E22" s="180">
        <v>300</v>
      </c>
      <c r="F22" s="26"/>
      <c r="G22" s="27">
        <v>2500</v>
      </c>
      <c r="H22" s="177">
        <f t="shared" si="0"/>
        <v>2800</v>
      </c>
      <c r="I22" s="16"/>
      <c r="L22" s="174"/>
    </row>
    <row r="23" spans="1:12" ht="18" customHeight="1" x14ac:dyDescent="0.25">
      <c r="A23" s="25" t="s">
        <v>46</v>
      </c>
      <c r="B23" s="25" t="s">
        <v>157</v>
      </c>
      <c r="C23" s="50" t="s">
        <v>8</v>
      </c>
      <c r="D23" s="180"/>
      <c r="E23" s="180">
        <v>13650</v>
      </c>
      <c r="F23" s="26"/>
      <c r="G23" s="27"/>
      <c r="H23" s="177">
        <f t="shared" si="0"/>
        <v>13650</v>
      </c>
      <c r="I23" s="16"/>
      <c r="L23" s="174"/>
    </row>
    <row r="24" spans="1:12" ht="16.5" customHeight="1" x14ac:dyDescent="0.25">
      <c r="A24" s="25" t="s">
        <v>47</v>
      </c>
      <c r="B24" s="25" t="s">
        <v>48</v>
      </c>
      <c r="C24" s="10" t="s">
        <v>112</v>
      </c>
      <c r="D24" s="180">
        <v>198</v>
      </c>
      <c r="E24" s="180"/>
      <c r="F24" s="26"/>
      <c r="G24" s="27">
        <v>23500</v>
      </c>
      <c r="H24" s="177">
        <f>SUM(D24:G24)</f>
        <v>23698</v>
      </c>
      <c r="I24" s="16"/>
      <c r="L24" s="174"/>
    </row>
    <row r="25" spans="1:12" ht="16.5" customHeight="1" x14ac:dyDescent="0.25">
      <c r="A25" s="25" t="s">
        <v>48</v>
      </c>
      <c r="B25" s="28" t="s">
        <v>44</v>
      </c>
      <c r="C25" s="62" t="s">
        <v>117</v>
      </c>
      <c r="D25" s="183"/>
      <c r="E25" s="183"/>
      <c r="F25" s="29">
        <v>2300</v>
      </c>
      <c r="G25" s="30"/>
      <c r="H25" s="177">
        <f>SUM(D25:G25)</f>
        <v>2300</v>
      </c>
      <c r="I25" s="16"/>
      <c r="L25" s="174"/>
    </row>
    <row r="26" spans="1:12" ht="16.5" customHeight="1" x14ac:dyDescent="0.25">
      <c r="A26" s="25" t="s">
        <v>435</v>
      </c>
      <c r="B26" s="28"/>
      <c r="C26" s="197" t="s">
        <v>434</v>
      </c>
      <c r="D26" s="183"/>
      <c r="E26" s="183"/>
      <c r="F26" s="29"/>
      <c r="G26" s="30"/>
      <c r="H26" s="177">
        <f>150+30</f>
        <v>180</v>
      </c>
      <c r="I26" s="16"/>
      <c r="L26" s="174"/>
    </row>
    <row r="27" spans="1:12" ht="16.5" customHeight="1" x14ac:dyDescent="0.25">
      <c r="A27" s="25" t="s">
        <v>49</v>
      </c>
      <c r="B27" s="28" t="s">
        <v>45</v>
      </c>
      <c r="C27" s="7" t="s">
        <v>18</v>
      </c>
      <c r="D27" s="183"/>
      <c r="E27" s="183">
        <v>60</v>
      </c>
      <c r="F27" s="29">
        <v>670</v>
      </c>
      <c r="G27" s="30"/>
      <c r="H27" s="177">
        <f>SUM(D27:G27)</f>
        <v>730</v>
      </c>
      <c r="I27" s="16"/>
      <c r="L27" s="174"/>
    </row>
    <row r="28" spans="1:12" ht="22.5" customHeight="1" x14ac:dyDescent="0.25">
      <c r="A28" s="25" t="s">
        <v>50</v>
      </c>
      <c r="B28" s="25"/>
      <c r="C28" s="18" t="s">
        <v>4</v>
      </c>
      <c r="D28" s="184">
        <f>SUM(D10:D27)</f>
        <v>4970</v>
      </c>
      <c r="E28" s="124">
        <f t="shared" ref="E28" si="1">SUM(E10:E27)</f>
        <v>14725</v>
      </c>
      <c r="F28" s="124">
        <f>SUM(F10:F27)</f>
        <v>10230</v>
      </c>
      <c r="G28" s="124">
        <f>SUM(G10:G27)</f>
        <v>141410</v>
      </c>
      <c r="H28" s="185">
        <f>SUM(D28:G28)</f>
        <v>171335</v>
      </c>
      <c r="I28" s="16"/>
      <c r="K28" s="174"/>
      <c r="L28" s="174"/>
    </row>
  </sheetData>
  <mergeCells count="12">
    <mergeCell ref="F1:H1"/>
    <mergeCell ref="F7:F9"/>
    <mergeCell ref="C5:G5"/>
    <mergeCell ref="G7:G9"/>
    <mergeCell ref="H7:H9"/>
    <mergeCell ref="D7:D9"/>
    <mergeCell ref="E7:E9"/>
    <mergeCell ref="A7:A9"/>
    <mergeCell ref="A6:G6"/>
    <mergeCell ref="B7:B9"/>
    <mergeCell ref="C7:C9"/>
    <mergeCell ref="F2:I2"/>
  </mergeCells>
  <phoneticPr fontId="0" type="noConversion"/>
  <pageMargins left="0.55118110236220474" right="0.55118110236220474" top="0.39370078740157483" bottom="0" header="0.51181102362204722" footer="0.51181102362204722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148"/>
  <sheetViews>
    <sheetView workbookViewId="0">
      <selection activeCell="D105" sqref="D105"/>
    </sheetView>
  </sheetViews>
  <sheetFormatPr defaultColWidth="9.140625" defaultRowHeight="16.5" x14ac:dyDescent="0.25"/>
  <cols>
    <col min="1" max="1" width="5.7109375" style="48" customWidth="1"/>
    <col min="2" max="2" width="26.5703125" style="48" customWidth="1"/>
    <col min="3" max="3" width="42.5703125" style="48" customWidth="1"/>
    <col min="4" max="4" width="11.85546875" style="48" customWidth="1"/>
    <col min="5" max="5" width="10.28515625" style="48" customWidth="1"/>
    <col min="6" max="6" width="10.85546875" style="48" customWidth="1"/>
    <col min="7" max="7" width="9.42578125" style="48" customWidth="1"/>
    <col min="8" max="8" width="10.140625" style="48" customWidth="1"/>
    <col min="9" max="9" width="10.7109375" style="48" customWidth="1"/>
    <col min="10" max="16384" width="9.140625" style="48"/>
  </cols>
  <sheetData>
    <row r="1" spans="1:9" ht="15" customHeight="1" x14ac:dyDescent="0.25">
      <c r="A1" s="46"/>
      <c r="B1" s="46"/>
      <c r="C1" s="46"/>
      <c r="D1" s="33" t="s">
        <v>76</v>
      </c>
      <c r="E1" s="33"/>
      <c r="F1" s="33"/>
      <c r="G1" s="16"/>
      <c r="H1" s="46"/>
      <c r="I1" s="46"/>
    </row>
    <row r="2" spans="1:9" ht="15" customHeight="1" x14ac:dyDescent="0.25">
      <c r="A2" s="46"/>
      <c r="B2" s="46"/>
      <c r="C2" s="46"/>
      <c r="D2" s="208" t="s">
        <v>447</v>
      </c>
      <c r="E2" s="208"/>
      <c r="F2" s="208"/>
      <c r="G2" s="208"/>
      <c r="H2" s="47"/>
      <c r="I2" s="46"/>
    </row>
    <row r="3" spans="1:9" ht="14.25" customHeight="1" x14ac:dyDescent="0.25">
      <c r="A3" s="46"/>
      <c r="B3" s="46"/>
      <c r="C3" s="46"/>
      <c r="D3" s="33" t="s">
        <v>318</v>
      </c>
      <c r="E3" s="33"/>
      <c r="F3" s="33"/>
      <c r="G3" s="16"/>
      <c r="H3" s="47"/>
      <c r="I3" s="46"/>
    </row>
    <row r="4" spans="1:9" ht="14.25" customHeight="1" x14ac:dyDescent="0.25">
      <c r="A4" s="46"/>
      <c r="B4" s="46"/>
      <c r="C4" s="46"/>
      <c r="D4" s="201" t="s">
        <v>451</v>
      </c>
      <c r="E4" s="201"/>
      <c r="F4" s="34"/>
      <c r="G4" s="16"/>
      <c r="H4" s="202"/>
      <c r="I4" s="46"/>
    </row>
    <row r="5" spans="1:9" ht="13.5" customHeight="1" x14ac:dyDescent="0.25">
      <c r="A5" s="46"/>
      <c r="B5" s="46"/>
      <c r="C5" s="46"/>
      <c r="D5" s="1" t="s">
        <v>326</v>
      </c>
      <c r="E5" s="1"/>
      <c r="F5" s="1"/>
      <c r="G5" s="16"/>
      <c r="H5" s="46"/>
      <c r="I5" s="46"/>
    </row>
    <row r="6" spans="1:9" ht="17.25" customHeight="1" x14ac:dyDescent="0.25">
      <c r="A6" s="46"/>
      <c r="B6" s="255" t="s">
        <v>412</v>
      </c>
      <c r="C6" s="255"/>
      <c r="D6" s="255"/>
      <c r="E6" s="255"/>
      <c r="F6" s="255"/>
      <c r="G6" s="255"/>
      <c r="H6" s="255"/>
      <c r="I6" s="255"/>
    </row>
    <row r="7" spans="1:9" ht="14.25" customHeight="1" x14ac:dyDescent="0.25">
      <c r="A7" s="46"/>
      <c r="B7" s="255" t="s">
        <v>199</v>
      </c>
      <c r="C7" s="255"/>
      <c r="D7" s="255"/>
      <c r="E7" s="255"/>
      <c r="F7" s="255"/>
      <c r="G7" s="255"/>
      <c r="H7" s="255"/>
      <c r="I7" s="255"/>
    </row>
    <row r="8" spans="1:9" ht="13.5" customHeight="1" x14ac:dyDescent="0.25">
      <c r="A8" s="46"/>
      <c r="B8" s="251" t="s">
        <v>402</v>
      </c>
      <c r="C8" s="251"/>
      <c r="D8" s="251"/>
      <c r="E8" s="251"/>
      <c r="F8" s="251"/>
      <c r="G8" s="251"/>
      <c r="H8" s="251"/>
      <c r="I8" s="251"/>
    </row>
    <row r="9" spans="1:9" ht="16.5" customHeight="1" x14ac:dyDescent="0.25">
      <c r="A9" s="308" t="s">
        <v>56</v>
      </c>
      <c r="B9" s="248" t="s">
        <v>222</v>
      </c>
      <c r="C9" s="248" t="s">
        <v>188</v>
      </c>
      <c r="D9" s="245" t="s">
        <v>13</v>
      </c>
      <c r="E9" s="312" t="s">
        <v>189</v>
      </c>
      <c r="F9" s="312"/>
      <c r="G9" s="312"/>
      <c r="H9" s="312"/>
      <c r="I9" s="312"/>
    </row>
    <row r="10" spans="1:9" x14ac:dyDescent="0.25">
      <c r="A10" s="309"/>
      <c r="B10" s="248"/>
      <c r="C10" s="248"/>
      <c r="D10" s="246"/>
      <c r="E10" s="248" t="s">
        <v>194</v>
      </c>
      <c r="F10" s="312" t="s">
        <v>11</v>
      </c>
      <c r="G10" s="312"/>
      <c r="H10" s="248" t="s">
        <v>367</v>
      </c>
      <c r="I10" s="248" t="s">
        <v>317</v>
      </c>
    </row>
    <row r="11" spans="1:9" ht="16.5" customHeight="1" x14ac:dyDescent="0.25">
      <c r="A11" s="309"/>
      <c r="B11" s="248"/>
      <c r="C11" s="248"/>
      <c r="D11" s="246"/>
      <c r="E11" s="248"/>
      <c r="F11" s="248" t="s">
        <v>462</v>
      </c>
      <c r="G11" s="248" t="s">
        <v>190</v>
      </c>
      <c r="H11" s="248"/>
      <c r="I11" s="248"/>
    </row>
    <row r="12" spans="1:9" x14ac:dyDescent="0.25">
      <c r="A12" s="309"/>
      <c r="B12" s="248"/>
      <c r="C12" s="248"/>
      <c r="D12" s="246"/>
      <c r="E12" s="248"/>
      <c r="F12" s="248"/>
      <c r="G12" s="248"/>
      <c r="H12" s="248"/>
      <c r="I12" s="248"/>
    </row>
    <row r="13" spans="1:9" ht="45.75" customHeight="1" x14ac:dyDescent="0.25">
      <c r="A13" s="309"/>
      <c r="B13" s="245"/>
      <c r="C13" s="245"/>
      <c r="D13" s="246"/>
      <c r="E13" s="245"/>
      <c r="F13" s="245"/>
      <c r="G13" s="245"/>
      <c r="H13" s="245"/>
      <c r="I13" s="245"/>
    </row>
    <row r="14" spans="1:9" ht="15.75" customHeight="1" x14ac:dyDescent="0.25">
      <c r="A14" s="305" t="s">
        <v>235</v>
      </c>
      <c r="B14" s="305"/>
      <c r="C14" s="305"/>
      <c r="D14" s="305"/>
      <c r="E14" s="305"/>
      <c r="F14" s="305"/>
      <c r="G14" s="305"/>
      <c r="H14" s="305"/>
      <c r="I14" s="305"/>
    </row>
    <row r="15" spans="1:9" ht="16.5" customHeight="1" x14ac:dyDescent="0.25">
      <c r="A15" s="76" t="s">
        <v>33</v>
      </c>
      <c r="B15" s="90" t="s">
        <v>8</v>
      </c>
      <c r="C15" s="9" t="s">
        <v>186</v>
      </c>
      <c r="D15" s="9">
        <f t="shared" ref="D15:D21" si="0">SUM(E15:I15)</f>
        <v>123330</v>
      </c>
      <c r="E15" s="9">
        <f>SUM('sav.f. 3 '!F15)</f>
        <v>123330</v>
      </c>
      <c r="F15" s="9"/>
      <c r="G15" s="9"/>
      <c r="H15" s="9"/>
      <c r="I15" s="91"/>
    </row>
    <row r="16" spans="1:9" ht="33" customHeight="1" x14ac:dyDescent="0.25">
      <c r="A16" s="75" t="s">
        <v>34</v>
      </c>
      <c r="B16" s="51" t="s">
        <v>187</v>
      </c>
      <c r="C16" s="32" t="s">
        <v>218</v>
      </c>
      <c r="D16" s="5">
        <f t="shared" si="0"/>
        <v>55114</v>
      </c>
      <c r="E16" s="5">
        <f>SUM('sav.f. 3 '!F17)</f>
        <v>55114</v>
      </c>
      <c r="F16" s="5"/>
      <c r="G16" s="5"/>
      <c r="H16" s="5"/>
      <c r="I16" s="64"/>
    </row>
    <row r="17" spans="1:9" ht="16.5" customHeight="1" x14ac:dyDescent="0.25">
      <c r="A17" s="75" t="s">
        <v>35</v>
      </c>
      <c r="B17" s="50" t="s">
        <v>8</v>
      </c>
      <c r="C17" s="5" t="s">
        <v>219</v>
      </c>
      <c r="D17" s="40">
        <f t="shared" si="0"/>
        <v>2262458</v>
      </c>
      <c r="E17" s="40">
        <f>SUM('sav.f. 3 '!F18:F20,'sav.f. 3 '!F22,'sav.f. 3 '!F73,'sav.f. 3 '!F105,'sav.f. 3 '!F118)</f>
        <v>1912892</v>
      </c>
      <c r="F17" s="40">
        <f>SUM('Valst.f. 4'!F15:F23,'Valst.f. 4'!F25:F26,'Valst.f. 4'!F28,'Valst.f. 4'!F34,'Valst.f. 4'!F51,'Valst.f. 4'!F53, 'Valst.f. 4'!F60)</f>
        <v>349566</v>
      </c>
      <c r="G17" s="40"/>
      <c r="H17" s="40"/>
      <c r="I17" s="192"/>
    </row>
    <row r="18" spans="1:9" ht="16.5" customHeight="1" x14ac:dyDescent="0.25">
      <c r="A18" s="75" t="s">
        <v>36</v>
      </c>
      <c r="B18" s="69" t="s">
        <v>8</v>
      </c>
      <c r="C18" s="53" t="s">
        <v>126</v>
      </c>
      <c r="D18" s="40">
        <f t="shared" si="0"/>
        <v>7559</v>
      </c>
      <c r="E18" s="40"/>
      <c r="F18" s="40">
        <f>SUM('Valst.f. 4'!F24)</f>
        <v>7559</v>
      </c>
      <c r="G18" s="40"/>
      <c r="H18" s="40"/>
      <c r="I18" s="111"/>
    </row>
    <row r="19" spans="1:9" ht="16.5" customHeight="1" x14ac:dyDescent="0.25">
      <c r="A19" s="92" t="s">
        <v>37</v>
      </c>
      <c r="B19" s="69" t="s">
        <v>8</v>
      </c>
      <c r="C19" s="53" t="s">
        <v>22</v>
      </c>
      <c r="D19" s="40">
        <f t="shared" si="0"/>
        <v>5800</v>
      </c>
      <c r="E19" s="40">
        <f>SUM('sav.f. 3 '!F21)</f>
        <v>5800</v>
      </c>
      <c r="F19" s="40"/>
      <c r="G19" s="40"/>
      <c r="H19" s="40"/>
      <c r="I19" s="111"/>
    </row>
    <row r="20" spans="1:9" ht="30.75" customHeight="1" x14ac:dyDescent="0.25">
      <c r="A20" s="92" t="s">
        <v>38</v>
      </c>
      <c r="B20" s="69" t="s">
        <v>302</v>
      </c>
      <c r="C20" s="68" t="s">
        <v>191</v>
      </c>
      <c r="D20" s="40">
        <f t="shared" si="0"/>
        <v>825238</v>
      </c>
      <c r="E20" s="40">
        <f>SUM('sav.f. 3 '!F23)</f>
        <v>825238</v>
      </c>
      <c r="F20" s="110"/>
      <c r="G20" s="110"/>
      <c r="H20" s="40"/>
      <c r="I20" s="111"/>
    </row>
    <row r="21" spans="1:9" ht="14.25" customHeight="1" x14ac:dyDescent="0.25">
      <c r="A21" s="304" t="s">
        <v>193</v>
      </c>
      <c r="B21" s="304"/>
      <c r="C21" s="304"/>
      <c r="D21" s="110">
        <f t="shared" si="0"/>
        <v>3279499</v>
      </c>
      <c r="E21" s="110">
        <f>SUM(E15:E20)</f>
        <v>2922374</v>
      </c>
      <c r="F21" s="110">
        <f>SUM(F15:F20)</f>
        <v>357125</v>
      </c>
      <c r="G21" s="110">
        <f>SUM(G15:G20)</f>
        <v>0</v>
      </c>
      <c r="H21" s="110">
        <f>SUM(H15:H20)</f>
        <v>0</v>
      </c>
      <c r="I21" s="110">
        <f>SUM(I15:I20)</f>
        <v>0</v>
      </c>
    </row>
    <row r="22" spans="1:9" ht="15.75" customHeight="1" x14ac:dyDescent="0.25">
      <c r="A22" s="305" t="s">
        <v>192</v>
      </c>
      <c r="B22" s="305"/>
      <c r="C22" s="305"/>
      <c r="D22" s="305"/>
      <c r="E22" s="305"/>
      <c r="F22" s="305"/>
      <c r="G22" s="305"/>
      <c r="H22" s="305"/>
      <c r="I22" s="305"/>
    </row>
    <row r="23" spans="1:9" ht="15" customHeight="1" x14ac:dyDescent="0.25">
      <c r="A23" s="75" t="s">
        <v>33</v>
      </c>
      <c r="B23" s="50" t="s">
        <v>79</v>
      </c>
      <c r="C23" s="52" t="s">
        <v>70</v>
      </c>
      <c r="D23" s="5">
        <f>SUM(E23:I23)</f>
        <v>3500</v>
      </c>
      <c r="E23" s="43">
        <f>SUM('sav.f. 3 '!F24)</f>
        <v>3500</v>
      </c>
      <c r="F23" s="45"/>
      <c r="G23" s="45"/>
      <c r="H23" s="45"/>
      <c r="I23" s="64"/>
    </row>
    <row r="24" spans="1:9" ht="15" customHeight="1" x14ac:dyDescent="0.25">
      <c r="A24" s="75" t="s">
        <v>34</v>
      </c>
      <c r="B24" s="50" t="s">
        <v>79</v>
      </c>
      <c r="C24" s="52" t="s">
        <v>304</v>
      </c>
      <c r="D24" s="5">
        <f>SUM(E24:I24)</f>
        <v>2300</v>
      </c>
      <c r="E24" s="43">
        <f>SUM('sav.f. 3 '!F25)</f>
        <v>2300</v>
      </c>
      <c r="F24" s="45"/>
      <c r="G24" s="45"/>
      <c r="H24" s="45"/>
      <c r="I24" s="64"/>
    </row>
    <row r="25" spans="1:9" ht="30" customHeight="1" x14ac:dyDescent="0.25">
      <c r="A25" s="75" t="s">
        <v>35</v>
      </c>
      <c r="B25" s="58" t="s">
        <v>79</v>
      </c>
      <c r="C25" s="59" t="s">
        <v>27</v>
      </c>
      <c r="D25" s="5">
        <f>SUM(E25:I25)</f>
        <v>2500</v>
      </c>
      <c r="E25" s="43">
        <f>SUM('sav.f. 3 '!F26)</f>
        <v>2500</v>
      </c>
      <c r="F25" s="45"/>
      <c r="G25" s="45"/>
      <c r="H25" s="45"/>
      <c r="I25" s="64"/>
    </row>
    <row r="26" spans="1:9" ht="15" customHeight="1" x14ac:dyDescent="0.25">
      <c r="A26" s="304" t="s">
        <v>193</v>
      </c>
      <c r="B26" s="304"/>
      <c r="C26" s="304"/>
      <c r="D26" s="93">
        <f t="shared" ref="D26:I26" si="1">SUM(D23:D25)</f>
        <v>8300</v>
      </c>
      <c r="E26" s="93">
        <f t="shared" si="1"/>
        <v>8300</v>
      </c>
      <c r="F26" s="93">
        <f t="shared" si="1"/>
        <v>0</v>
      </c>
      <c r="G26" s="45">
        <f t="shared" si="1"/>
        <v>0</v>
      </c>
      <c r="H26" s="45">
        <f t="shared" si="1"/>
        <v>0</v>
      </c>
      <c r="I26" s="45">
        <f t="shared" si="1"/>
        <v>0</v>
      </c>
    </row>
    <row r="27" spans="1:9" ht="15.75" customHeight="1" x14ac:dyDescent="0.25">
      <c r="A27" s="305" t="s">
        <v>196</v>
      </c>
      <c r="B27" s="305"/>
      <c r="C27" s="305"/>
      <c r="D27" s="305"/>
      <c r="E27" s="305"/>
      <c r="F27" s="305"/>
      <c r="G27" s="305"/>
      <c r="H27" s="305"/>
      <c r="I27" s="305"/>
    </row>
    <row r="28" spans="1:9" ht="16.5" customHeight="1" x14ac:dyDescent="0.25">
      <c r="A28" s="75" t="s">
        <v>33</v>
      </c>
      <c r="B28" s="5" t="s">
        <v>8</v>
      </c>
      <c r="C28" s="61" t="s">
        <v>115</v>
      </c>
      <c r="D28" s="32">
        <f>SUM(E28:I28)</f>
        <v>1000</v>
      </c>
      <c r="E28" s="79">
        <f>SUM('sav.f. 3 '!F28)</f>
        <v>1000</v>
      </c>
      <c r="F28" s="45"/>
      <c r="G28" s="94"/>
      <c r="H28" s="94"/>
      <c r="I28" s="64"/>
    </row>
    <row r="29" spans="1:9" ht="15" customHeight="1" x14ac:dyDescent="0.25">
      <c r="A29" s="75" t="s">
        <v>34</v>
      </c>
      <c r="B29" s="5" t="s">
        <v>8</v>
      </c>
      <c r="C29" s="61" t="s">
        <v>195</v>
      </c>
      <c r="D29" s="43">
        <f>SUM(E29:I29)</f>
        <v>26940</v>
      </c>
      <c r="E29" s="79">
        <f>SUM('sav.f. 3 '!F29)</f>
        <v>26940</v>
      </c>
      <c r="F29" s="45"/>
      <c r="G29" s="45"/>
      <c r="H29" s="45"/>
      <c r="I29" s="64"/>
    </row>
    <row r="30" spans="1:9" ht="16.5" customHeight="1" x14ac:dyDescent="0.25">
      <c r="A30" s="304" t="s">
        <v>193</v>
      </c>
      <c r="B30" s="304"/>
      <c r="C30" s="304"/>
      <c r="D30" s="45">
        <f>SUM(E30:I30)</f>
        <v>27940</v>
      </c>
      <c r="E30" s="45">
        <f>SUM(E28:E29)</f>
        <v>27940</v>
      </c>
      <c r="F30" s="45">
        <f>SUM(F26:F29)</f>
        <v>0</v>
      </c>
      <c r="G30" s="45">
        <f>SUM(G26:G29)</f>
        <v>0</v>
      </c>
      <c r="H30" s="45">
        <f>SUM(H26:H29)</f>
        <v>0</v>
      </c>
      <c r="I30" s="45">
        <f>SUM(I26:I29)</f>
        <v>0</v>
      </c>
    </row>
    <row r="31" spans="1:9" ht="17.25" customHeight="1" x14ac:dyDescent="0.25">
      <c r="A31" s="305" t="s">
        <v>197</v>
      </c>
      <c r="B31" s="305"/>
      <c r="C31" s="305"/>
      <c r="D31" s="305"/>
      <c r="E31" s="305"/>
      <c r="F31" s="305"/>
      <c r="G31" s="305"/>
      <c r="H31" s="305"/>
      <c r="I31" s="305"/>
    </row>
    <row r="32" spans="1:9" ht="16.5" customHeight="1" x14ac:dyDescent="0.25">
      <c r="A32" s="75" t="s">
        <v>33</v>
      </c>
      <c r="B32" s="5" t="s">
        <v>8</v>
      </c>
      <c r="C32" s="5" t="s">
        <v>67</v>
      </c>
      <c r="D32" s="109">
        <f>SUM(E32:I32)</f>
        <v>58800</v>
      </c>
      <c r="E32" s="109">
        <f>SUM('sav.f. 3 '!F32)</f>
        <v>58800</v>
      </c>
      <c r="F32" s="40"/>
      <c r="G32" s="40"/>
      <c r="H32" s="40"/>
      <c r="I32" s="111"/>
    </row>
    <row r="33" spans="1:9" ht="16.5" customHeight="1" x14ac:dyDescent="0.25">
      <c r="A33" s="75" t="s">
        <v>34</v>
      </c>
      <c r="B33" s="5" t="s">
        <v>8</v>
      </c>
      <c r="C33" s="5" t="s">
        <v>323</v>
      </c>
      <c r="D33" s="108">
        <f>SUM(E33:I33)</f>
        <v>8700</v>
      </c>
      <c r="E33" s="108">
        <f>'sav.f. 3 '!G33</f>
        <v>8700</v>
      </c>
      <c r="F33" s="40"/>
      <c r="G33" s="40"/>
      <c r="H33" s="40"/>
      <c r="I33" s="111"/>
    </row>
    <row r="34" spans="1:9" ht="15.75" customHeight="1" x14ac:dyDescent="0.25">
      <c r="A34" s="75" t="s">
        <v>35</v>
      </c>
      <c r="B34" s="5" t="s">
        <v>8</v>
      </c>
      <c r="C34" s="5" t="s">
        <v>23</v>
      </c>
      <c r="D34" s="40">
        <f>SUM(E34:I34)</f>
        <v>75000</v>
      </c>
      <c r="E34" s="40">
        <f>SUM('sav.f. 3 '!G34)</f>
        <v>75000</v>
      </c>
      <c r="F34" s="40"/>
      <c r="G34" s="122"/>
      <c r="H34" s="122"/>
      <c r="I34" s="111"/>
    </row>
    <row r="35" spans="1:9" ht="15.75" customHeight="1" x14ac:dyDescent="0.25">
      <c r="A35" s="304" t="s">
        <v>193</v>
      </c>
      <c r="B35" s="304"/>
      <c r="C35" s="304"/>
      <c r="D35" s="117">
        <f>SUM(E35:I35)</f>
        <v>142500</v>
      </c>
      <c r="E35" s="117">
        <f>SUM(E32:E34)</f>
        <v>142500</v>
      </c>
      <c r="F35" s="117">
        <f>SUM(F32:F34)</f>
        <v>0</v>
      </c>
      <c r="G35" s="117">
        <f>SUM(G32:G34)</f>
        <v>0</v>
      </c>
      <c r="H35" s="117">
        <f>SUM(H32:H34)</f>
        <v>0</v>
      </c>
      <c r="I35" s="117">
        <f>SUM(I32:I34)</f>
        <v>0</v>
      </c>
    </row>
    <row r="36" spans="1:9" ht="16.5" customHeight="1" x14ac:dyDescent="0.25">
      <c r="A36" s="305" t="s">
        <v>198</v>
      </c>
      <c r="B36" s="305"/>
      <c r="C36" s="305"/>
      <c r="D36" s="305"/>
      <c r="E36" s="305"/>
      <c r="F36" s="305"/>
      <c r="G36" s="305"/>
      <c r="H36" s="305"/>
      <c r="I36" s="305"/>
    </row>
    <row r="37" spans="1:9" ht="17.25" customHeight="1" x14ac:dyDescent="0.25">
      <c r="A37" s="75" t="s">
        <v>33</v>
      </c>
      <c r="B37" s="5" t="s">
        <v>8</v>
      </c>
      <c r="C37" s="5" t="s">
        <v>66</v>
      </c>
      <c r="D37" s="5">
        <f>SUM(E37:I37)</f>
        <v>12000</v>
      </c>
      <c r="E37" s="5">
        <f>SUM('sav.f. 3 '!F35)</f>
        <v>12000</v>
      </c>
      <c r="F37" s="5"/>
      <c r="G37" s="5"/>
      <c r="H37" s="5"/>
      <c r="I37" s="64"/>
    </row>
    <row r="38" spans="1:9" ht="15" customHeight="1" x14ac:dyDescent="0.25">
      <c r="A38" s="304" t="s">
        <v>193</v>
      </c>
      <c r="B38" s="304"/>
      <c r="C38" s="304"/>
      <c r="D38" s="83">
        <f>SUM(E38:I38)</f>
        <v>12000</v>
      </c>
      <c r="E38" s="83">
        <f>SUM(E37)</f>
        <v>12000</v>
      </c>
      <c r="F38" s="83">
        <f>SUM(F37)</f>
        <v>0</v>
      </c>
      <c r="G38" s="83">
        <f>SUM(G37)</f>
        <v>0</v>
      </c>
      <c r="H38" s="83">
        <f>SUM(H37)</f>
        <v>0</v>
      </c>
      <c r="I38" s="83">
        <f>SUM(I37)</f>
        <v>0</v>
      </c>
    </row>
    <row r="39" spans="1:9" ht="15" customHeight="1" x14ac:dyDescent="0.25">
      <c r="A39" s="305" t="s">
        <v>200</v>
      </c>
      <c r="B39" s="305"/>
      <c r="C39" s="305"/>
      <c r="D39" s="305"/>
      <c r="E39" s="305"/>
      <c r="F39" s="305"/>
      <c r="G39" s="305"/>
      <c r="H39" s="305"/>
      <c r="I39" s="305"/>
    </row>
    <row r="40" spans="1:9" ht="15" customHeight="1" x14ac:dyDescent="0.25">
      <c r="A40" s="97" t="s">
        <v>33</v>
      </c>
      <c r="B40" s="98" t="s">
        <v>8</v>
      </c>
      <c r="C40" s="99" t="s">
        <v>201</v>
      </c>
      <c r="D40" s="9">
        <f>SUM(E40:I40)</f>
        <v>181283</v>
      </c>
      <c r="E40" s="32"/>
      <c r="F40" s="32">
        <f>SUM('Valst.f. 4'!F30)</f>
        <v>181283</v>
      </c>
      <c r="G40" s="9"/>
      <c r="H40" s="9"/>
      <c r="I40" s="91"/>
    </row>
    <row r="41" spans="1:9" ht="16.5" customHeight="1" x14ac:dyDescent="0.25">
      <c r="A41" s="304" t="s">
        <v>193</v>
      </c>
      <c r="B41" s="304"/>
      <c r="C41" s="304"/>
      <c r="D41" s="100">
        <f>SUM(E41:I41)</f>
        <v>181283</v>
      </c>
      <c r="E41" s="100">
        <f>SUM(E40)</f>
        <v>0</v>
      </c>
      <c r="F41" s="100">
        <f>SUM(F40)</f>
        <v>181283</v>
      </c>
      <c r="G41" s="100">
        <f>SUM(G40)</f>
        <v>0</v>
      </c>
      <c r="H41" s="100">
        <f>SUM(H40)</f>
        <v>0</v>
      </c>
      <c r="I41" s="83">
        <f>SUM(I40)</f>
        <v>0</v>
      </c>
    </row>
    <row r="42" spans="1:9" ht="15.75" customHeight="1" x14ac:dyDescent="0.25">
      <c r="A42" s="305" t="s">
        <v>202</v>
      </c>
      <c r="B42" s="305"/>
      <c r="C42" s="305"/>
      <c r="D42" s="305"/>
      <c r="E42" s="305"/>
      <c r="F42" s="305"/>
      <c r="G42" s="305"/>
      <c r="H42" s="305"/>
      <c r="I42" s="305"/>
    </row>
    <row r="43" spans="1:9" ht="15" customHeight="1" x14ac:dyDescent="0.25">
      <c r="A43" s="75" t="s">
        <v>33</v>
      </c>
      <c r="B43" s="5" t="s">
        <v>8</v>
      </c>
      <c r="C43" s="70" t="s">
        <v>298</v>
      </c>
      <c r="D43" s="32">
        <f>SUM(E43:I43)</f>
        <v>162477</v>
      </c>
      <c r="E43" s="32">
        <f>SUM('sav.f. 3 '!F31)</f>
        <v>10513</v>
      </c>
      <c r="F43" s="32">
        <f>SUM('Valst.f. 4'!F29)</f>
        <v>151964</v>
      </c>
      <c r="G43" s="9"/>
      <c r="H43" s="9"/>
      <c r="I43" s="64"/>
    </row>
    <row r="44" spans="1:9" ht="15.75" customHeight="1" x14ac:dyDescent="0.25">
      <c r="A44" s="303" t="s">
        <v>193</v>
      </c>
      <c r="B44" s="303"/>
      <c r="C44" s="303"/>
      <c r="D44" s="95">
        <f>SUM(E44:I44)</f>
        <v>162477</v>
      </c>
      <c r="E44" s="95">
        <f>SUM(E43:E43)</f>
        <v>10513</v>
      </c>
      <c r="F44" s="95">
        <f>SUM(F43:F43)</f>
        <v>151964</v>
      </c>
      <c r="G44" s="95">
        <f>SUM(G43:G43)</f>
        <v>0</v>
      </c>
      <c r="H44" s="95">
        <f>SUM(H43:H43)</f>
        <v>0</v>
      </c>
      <c r="I44" s="96">
        <f>SUM(I43:I43)</f>
        <v>0</v>
      </c>
    </row>
    <row r="45" spans="1:9" s="101" customFormat="1" ht="18" customHeight="1" x14ac:dyDescent="0.2">
      <c r="A45" s="310" t="s">
        <v>204</v>
      </c>
      <c r="B45" s="310"/>
      <c r="C45" s="310"/>
      <c r="D45" s="310"/>
      <c r="E45" s="310"/>
      <c r="F45" s="310"/>
      <c r="G45" s="310"/>
      <c r="H45" s="310"/>
      <c r="I45" s="310"/>
    </row>
    <row r="46" spans="1:9" s="101" customFormat="1" ht="16.5" customHeight="1" x14ac:dyDescent="0.2">
      <c r="A46" s="102" t="s">
        <v>33</v>
      </c>
      <c r="B46" s="50" t="s">
        <v>8</v>
      </c>
      <c r="C46" s="50" t="s">
        <v>148</v>
      </c>
      <c r="D46" s="44">
        <f>SUM(E46:I46)</f>
        <v>424965</v>
      </c>
      <c r="E46" s="44">
        <f>SUM('sav.f. 3 '!F30)</f>
        <v>1450</v>
      </c>
      <c r="F46" s="44">
        <f>SUM('Valst.f. 4'!F27)</f>
        <v>423515</v>
      </c>
      <c r="G46" s="44"/>
      <c r="H46" s="44"/>
      <c r="I46" s="102"/>
    </row>
    <row r="47" spans="1:9" s="101" customFormat="1" ht="16.5" customHeight="1" x14ac:dyDescent="0.25">
      <c r="A47" s="102" t="s">
        <v>34</v>
      </c>
      <c r="B47" s="50" t="s">
        <v>8</v>
      </c>
      <c r="C47" s="63" t="s">
        <v>109</v>
      </c>
      <c r="D47" s="44">
        <f t="shared" ref="D47:D65" si="2">SUM(E47:I47)</f>
        <v>626540</v>
      </c>
      <c r="E47" s="44">
        <f>SUM('sav.f. 3 '!F37)</f>
        <v>626540</v>
      </c>
      <c r="F47" s="44"/>
      <c r="G47" s="44"/>
      <c r="H47" s="44"/>
      <c r="I47" s="102"/>
    </row>
    <row r="48" spans="1:9" ht="16.5" customHeight="1" x14ac:dyDescent="0.25">
      <c r="A48" s="75" t="s">
        <v>35</v>
      </c>
      <c r="B48" s="50" t="s">
        <v>8</v>
      </c>
      <c r="C48" s="63" t="s">
        <v>5</v>
      </c>
      <c r="D48" s="44">
        <f t="shared" si="2"/>
        <v>35800</v>
      </c>
      <c r="E48" s="79">
        <f>SUM('sav.f. 3 '!F55)</f>
        <v>35800</v>
      </c>
      <c r="F48" s="79"/>
      <c r="G48" s="5"/>
      <c r="H48" s="5"/>
      <c r="I48" s="64"/>
    </row>
    <row r="49" spans="1:9" ht="16.5" customHeight="1" x14ac:dyDescent="0.25">
      <c r="A49" s="75" t="s">
        <v>36</v>
      </c>
      <c r="B49" s="50" t="s">
        <v>223</v>
      </c>
      <c r="C49" s="63" t="s">
        <v>299</v>
      </c>
      <c r="D49" s="44">
        <f t="shared" si="2"/>
        <v>3733</v>
      </c>
      <c r="E49" s="79">
        <f>SUM('sav.f. 3 '!F39,'sav.f. 3 '!F56)</f>
        <v>3733</v>
      </c>
      <c r="F49" s="79"/>
      <c r="G49" s="5"/>
      <c r="H49" s="5"/>
      <c r="I49" s="64"/>
    </row>
    <row r="50" spans="1:9" ht="16.5" customHeight="1" x14ac:dyDescent="0.25">
      <c r="A50" s="75" t="s">
        <v>37</v>
      </c>
      <c r="B50" s="50" t="s">
        <v>224</v>
      </c>
      <c r="C50" s="63" t="s">
        <v>299</v>
      </c>
      <c r="D50" s="44">
        <f t="shared" si="2"/>
        <v>8194</v>
      </c>
      <c r="E50" s="79">
        <f>SUM('sav.f. 3 '!F40,'sav.f. 3 '!F57)</f>
        <v>8194</v>
      </c>
      <c r="F50" s="79"/>
      <c r="G50" s="5"/>
      <c r="H50" s="5"/>
      <c r="I50" s="64"/>
    </row>
    <row r="51" spans="1:9" ht="16.5" customHeight="1" x14ac:dyDescent="0.25">
      <c r="A51" s="75" t="s">
        <v>38</v>
      </c>
      <c r="B51" s="50" t="s">
        <v>225</v>
      </c>
      <c r="C51" s="63" t="s">
        <v>299</v>
      </c>
      <c r="D51" s="44">
        <f t="shared" si="2"/>
        <v>8028</v>
      </c>
      <c r="E51" s="79">
        <f>SUM('sav.f. 3 '!F41,'sav.f. 3 '!F58)</f>
        <v>8028</v>
      </c>
      <c r="F51" s="79"/>
      <c r="G51" s="5"/>
      <c r="H51" s="5"/>
      <c r="I51" s="64"/>
    </row>
    <row r="52" spans="1:9" ht="16.5" customHeight="1" x14ac:dyDescent="0.25">
      <c r="A52" s="75" t="s">
        <v>39</v>
      </c>
      <c r="B52" s="50" t="s">
        <v>226</v>
      </c>
      <c r="C52" s="63" t="s">
        <v>299</v>
      </c>
      <c r="D52" s="44">
        <f t="shared" si="2"/>
        <v>6087</v>
      </c>
      <c r="E52" s="79">
        <f>SUM('sav.f. 3 '!F42,'sav.f. 3 '!F59)</f>
        <v>6087</v>
      </c>
      <c r="F52" s="79"/>
      <c r="G52" s="5"/>
      <c r="H52" s="5"/>
      <c r="I52" s="64"/>
    </row>
    <row r="53" spans="1:9" ht="16.5" customHeight="1" x14ac:dyDescent="0.25">
      <c r="A53" s="75" t="s">
        <v>40</v>
      </c>
      <c r="B53" s="50" t="s">
        <v>237</v>
      </c>
      <c r="C53" s="63" t="s">
        <v>299</v>
      </c>
      <c r="D53" s="44">
        <f t="shared" si="2"/>
        <v>82432</v>
      </c>
      <c r="E53" s="79">
        <f>SUM('sav.f. 3 '!F43,'sav.f. 3 '!F60)</f>
        <v>82432</v>
      </c>
      <c r="F53" s="79"/>
      <c r="G53" s="5"/>
      <c r="H53" s="5"/>
      <c r="I53" s="64"/>
    </row>
    <row r="54" spans="1:9" ht="16.5" customHeight="1" x14ac:dyDescent="0.25">
      <c r="A54" s="75" t="s">
        <v>41</v>
      </c>
      <c r="B54" s="50" t="s">
        <v>227</v>
      </c>
      <c r="C54" s="63" t="s">
        <v>299</v>
      </c>
      <c r="D54" s="44">
        <f t="shared" si="2"/>
        <v>10822</v>
      </c>
      <c r="E54" s="79">
        <f>SUM('sav.f. 3 '!F44,'sav.f. 3 '!F61)</f>
        <v>10822</v>
      </c>
      <c r="F54" s="79"/>
      <c r="G54" s="5"/>
      <c r="H54" s="5"/>
      <c r="I54" s="64"/>
    </row>
    <row r="55" spans="1:9" ht="16.5" customHeight="1" x14ac:dyDescent="0.25">
      <c r="A55" s="75" t="s">
        <v>42</v>
      </c>
      <c r="B55" s="50" t="s">
        <v>228</v>
      </c>
      <c r="C55" s="63" t="s">
        <v>299</v>
      </c>
      <c r="D55" s="44">
        <f t="shared" si="2"/>
        <v>4575</v>
      </c>
      <c r="E55" s="79">
        <f>SUM('sav.f. 3 '!F45,'sav.f. 3 '!F62)</f>
        <v>4575</v>
      </c>
      <c r="F55" s="79"/>
      <c r="G55" s="5"/>
      <c r="H55" s="5"/>
      <c r="I55" s="64"/>
    </row>
    <row r="56" spans="1:9" ht="16.5" customHeight="1" x14ac:dyDescent="0.25">
      <c r="A56" s="75" t="s">
        <v>43</v>
      </c>
      <c r="B56" s="50" t="s">
        <v>229</v>
      </c>
      <c r="C56" s="63" t="s">
        <v>299</v>
      </c>
      <c r="D56" s="44">
        <f t="shared" si="2"/>
        <v>14994</v>
      </c>
      <c r="E56" s="79">
        <f>SUM('sav.f. 3 '!F46,'sav.f. 3 '!F63)</f>
        <v>14994</v>
      </c>
      <c r="F56" s="79"/>
      <c r="G56" s="5"/>
      <c r="H56" s="5"/>
      <c r="I56" s="64"/>
    </row>
    <row r="57" spans="1:9" ht="16.5" customHeight="1" x14ac:dyDescent="0.25">
      <c r="A57" s="75" t="s">
        <v>44</v>
      </c>
      <c r="B57" s="50" t="s">
        <v>230</v>
      </c>
      <c r="C57" s="63" t="s">
        <v>299</v>
      </c>
      <c r="D57" s="44">
        <f t="shared" si="2"/>
        <v>3795</v>
      </c>
      <c r="E57" s="79">
        <f>SUM('sav.f. 3 '!F47,'sav.f. 3 '!F64)</f>
        <v>3795</v>
      </c>
      <c r="F57" s="79"/>
      <c r="G57" s="5"/>
      <c r="H57" s="5"/>
      <c r="I57" s="64"/>
    </row>
    <row r="58" spans="1:9" ht="16.5" customHeight="1" x14ac:dyDescent="0.25">
      <c r="A58" s="75" t="s">
        <v>45</v>
      </c>
      <c r="B58" s="50" t="s">
        <v>231</v>
      </c>
      <c r="C58" s="63" t="s">
        <v>299</v>
      </c>
      <c r="D58" s="44">
        <f t="shared" si="2"/>
        <v>8045</v>
      </c>
      <c r="E58" s="79">
        <f>SUM('sav.f. 3 '!F48,'sav.f. 3 '!F65)</f>
        <v>8045</v>
      </c>
      <c r="F58" s="79"/>
      <c r="G58" s="5"/>
      <c r="H58" s="5"/>
      <c r="I58" s="64"/>
    </row>
    <row r="59" spans="1:9" ht="16.5" customHeight="1" x14ac:dyDescent="0.25">
      <c r="A59" s="75" t="s">
        <v>46</v>
      </c>
      <c r="B59" s="50" t="s">
        <v>232</v>
      </c>
      <c r="C59" s="63" t="s">
        <v>299</v>
      </c>
      <c r="D59" s="44">
        <f t="shared" si="2"/>
        <v>4798</v>
      </c>
      <c r="E59" s="79">
        <f>SUM('sav.f. 3 '!F49,'sav.f. 3 '!F66)</f>
        <v>4798</v>
      </c>
      <c r="F59" s="79"/>
      <c r="G59" s="5"/>
      <c r="H59" s="5"/>
      <c r="I59" s="64"/>
    </row>
    <row r="60" spans="1:9" ht="16.5" customHeight="1" x14ac:dyDescent="0.25">
      <c r="A60" s="75" t="s">
        <v>47</v>
      </c>
      <c r="B60" s="50" t="s">
        <v>233</v>
      </c>
      <c r="C60" s="63" t="s">
        <v>299</v>
      </c>
      <c r="D60" s="44">
        <f t="shared" si="2"/>
        <v>4628</v>
      </c>
      <c r="E60" s="79">
        <f>SUM('sav.f. 3 '!F50,'sav.f. 3 '!F67)</f>
        <v>4628</v>
      </c>
      <c r="F60" s="79"/>
      <c r="G60" s="5"/>
      <c r="H60" s="5"/>
      <c r="I60" s="64"/>
    </row>
    <row r="61" spans="1:9" ht="16.5" customHeight="1" x14ac:dyDescent="0.25">
      <c r="A61" s="75" t="s">
        <v>48</v>
      </c>
      <c r="B61" s="50" t="s">
        <v>234</v>
      </c>
      <c r="C61" s="63" t="s">
        <v>299</v>
      </c>
      <c r="D61" s="44">
        <f t="shared" si="2"/>
        <v>72104</v>
      </c>
      <c r="E61" s="79">
        <f>SUM('sav.f. 3 '!F51,'sav.f. 3 '!F68)</f>
        <v>72104</v>
      </c>
      <c r="F61" s="79"/>
      <c r="G61" s="5"/>
      <c r="H61" s="5"/>
      <c r="I61" s="64"/>
    </row>
    <row r="62" spans="1:9" ht="16.5" customHeight="1" x14ac:dyDescent="0.25">
      <c r="A62" s="75" t="s">
        <v>49</v>
      </c>
      <c r="B62" s="50" t="s">
        <v>8</v>
      </c>
      <c r="C62" s="63" t="s">
        <v>151</v>
      </c>
      <c r="D62" s="44">
        <f t="shared" si="2"/>
        <v>2900</v>
      </c>
      <c r="E62" s="5">
        <f>SUM('sav.f. 3 '!F54)</f>
        <v>2900</v>
      </c>
      <c r="F62" s="5"/>
      <c r="G62" s="5"/>
      <c r="H62" s="5"/>
      <c r="I62" s="64"/>
    </row>
    <row r="63" spans="1:9" ht="16.5" customHeight="1" x14ac:dyDescent="0.25">
      <c r="A63" s="75" t="s">
        <v>50</v>
      </c>
      <c r="B63" s="50" t="s">
        <v>8</v>
      </c>
      <c r="C63" s="115" t="s">
        <v>16</v>
      </c>
      <c r="D63" s="44">
        <f t="shared" si="2"/>
        <v>9136</v>
      </c>
      <c r="E63" s="5">
        <f>SUM('sav.f. 3 '!F53)</f>
        <v>9136</v>
      </c>
      <c r="F63" s="5"/>
      <c r="G63" s="5"/>
      <c r="H63" s="5"/>
      <c r="I63" s="64"/>
    </row>
    <row r="64" spans="1:9" ht="16.5" customHeight="1" x14ac:dyDescent="0.25">
      <c r="A64" s="75" t="s">
        <v>51</v>
      </c>
      <c r="B64" s="50" t="s">
        <v>8</v>
      </c>
      <c r="C64" s="14" t="s">
        <v>463</v>
      </c>
      <c r="D64" s="44"/>
      <c r="E64" s="5"/>
      <c r="F64" s="5">
        <f>SUM('Valst.f. 4'!F61)</f>
        <v>1120728</v>
      </c>
      <c r="G64" s="5"/>
      <c r="H64" s="5"/>
      <c r="I64" s="64"/>
    </row>
    <row r="65" spans="1:9" ht="16.5" customHeight="1" x14ac:dyDescent="0.25">
      <c r="A65" s="75" t="s">
        <v>52</v>
      </c>
      <c r="B65" s="50" t="s">
        <v>8</v>
      </c>
      <c r="C65" s="63" t="s">
        <v>149</v>
      </c>
      <c r="D65" s="44">
        <f t="shared" si="2"/>
        <v>49650</v>
      </c>
      <c r="E65" s="5">
        <f>SUM('sav.f. 3 '!F69)</f>
        <v>36000</v>
      </c>
      <c r="F65" s="5"/>
      <c r="G65" s="5"/>
      <c r="H65" s="5"/>
      <c r="I65" s="192">
        <f>SUM(Spec.7!H23)</f>
        <v>13650</v>
      </c>
    </row>
    <row r="66" spans="1:9" ht="17.25" customHeight="1" x14ac:dyDescent="0.25">
      <c r="A66" s="304" t="s">
        <v>193</v>
      </c>
      <c r="B66" s="304"/>
      <c r="C66" s="304"/>
      <c r="D66" s="83">
        <f>SUM(E66:I66)</f>
        <v>2501954</v>
      </c>
      <c r="E66" s="83">
        <f>SUM(E46:E65)</f>
        <v>944061</v>
      </c>
      <c r="F66" s="83">
        <f>SUM(F46:F65)</f>
        <v>1544243</v>
      </c>
      <c r="G66" s="83">
        <f>SUM(G46:G65)</f>
        <v>0</v>
      </c>
      <c r="H66" s="83">
        <f>SUM(H46:H65)</f>
        <v>0</v>
      </c>
      <c r="I66" s="83">
        <f>SUM(I46:I65)</f>
        <v>13650</v>
      </c>
    </row>
    <row r="67" spans="1:9" ht="15.75" customHeight="1" x14ac:dyDescent="0.25">
      <c r="A67" s="305" t="s">
        <v>205</v>
      </c>
      <c r="B67" s="305"/>
      <c r="C67" s="305"/>
      <c r="D67" s="305"/>
      <c r="E67" s="305"/>
      <c r="F67" s="305"/>
      <c r="G67" s="305"/>
      <c r="H67" s="305"/>
      <c r="I67" s="305"/>
    </row>
    <row r="68" spans="1:9" ht="18.75" customHeight="1" x14ac:dyDescent="0.25">
      <c r="A68" s="75" t="s">
        <v>33</v>
      </c>
      <c r="B68" s="5" t="s">
        <v>8</v>
      </c>
      <c r="C68" s="103" t="s">
        <v>111</v>
      </c>
      <c r="D68" s="32">
        <f>SUM(E68:I68)</f>
        <v>86556</v>
      </c>
      <c r="E68" s="64">
        <f>SUM(AARP.6!I40)</f>
        <v>86556</v>
      </c>
      <c r="F68" s="9"/>
      <c r="G68" s="9"/>
      <c r="H68" s="9"/>
      <c r="I68" s="64"/>
    </row>
    <row r="69" spans="1:9" ht="17.25" customHeight="1" x14ac:dyDescent="0.25">
      <c r="A69" s="311" t="s">
        <v>193</v>
      </c>
      <c r="B69" s="311"/>
      <c r="C69" s="311"/>
      <c r="D69" s="116">
        <f>SUM(E69:I69)</f>
        <v>86556</v>
      </c>
      <c r="E69" s="117">
        <f>SUM(E68:E68)</f>
        <v>86556</v>
      </c>
      <c r="F69" s="117">
        <f>SUM(F68:F68)</f>
        <v>0</v>
      </c>
      <c r="G69" s="117">
        <f>SUM(G68:G68)</f>
        <v>0</v>
      </c>
      <c r="H69" s="117">
        <f>SUM(H68:H68)</f>
        <v>0</v>
      </c>
      <c r="I69" s="117">
        <f>SUM(I68:I68)</f>
        <v>0</v>
      </c>
    </row>
    <row r="70" spans="1:9" ht="15" customHeight="1" x14ac:dyDescent="0.25">
      <c r="A70" s="307" t="s">
        <v>206</v>
      </c>
      <c r="B70" s="307"/>
      <c r="C70" s="307"/>
      <c r="D70" s="307"/>
      <c r="E70" s="307"/>
      <c r="F70" s="307"/>
      <c r="G70" s="307"/>
      <c r="H70" s="307"/>
      <c r="I70" s="307"/>
    </row>
    <row r="71" spans="1:9" ht="15" customHeight="1" x14ac:dyDescent="0.25">
      <c r="A71" s="114" t="s">
        <v>33</v>
      </c>
      <c r="B71" s="40" t="s">
        <v>8</v>
      </c>
      <c r="C71" s="40" t="s">
        <v>17</v>
      </c>
      <c r="D71" s="109">
        <f>SUM(E71:I71)</f>
        <v>1116029</v>
      </c>
      <c r="E71" s="112">
        <f>SUM('sav.f. 3 '!F36)</f>
        <v>1116029</v>
      </c>
      <c r="F71" s="112"/>
      <c r="G71" s="112"/>
      <c r="H71" s="112"/>
      <c r="I71" s="111"/>
    </row>
    <row r="72" spans="1:9" ht="15" customHeight="1" x14ac:dyDescent="0.25">
      <c r="A72" s="311" t="s">
        <v>193</v>
      </c>
      <c r="B72" s="311"/>
      <c r="C72" s="311"/>
      <c r="D72" s="110">
        <f>SUM(D71)</f>
        <v>1116029</v>
      </c>
      <c r="E72" s="110">
        <f>SUM(E71)</f>
        <v>1116029</v>
      </c>
      <c r="F72" s="110">
        <f ca="1">SUM(F71:F130)</f>
        <v>0</v>
      </c>
      <c r="G72" s="110">
        <f ca="1">SUM(G71:G130)</f>
        <v>0</v>
      </c>
      <c r="H72" s="110">
        <f ca="1">SUM(H71:H130)</f>
        <v>0</v>
      </c>
      <c r="I72" s="110">
        <f ca="1">SUM(I71:I130)</f>
        <v>0</v>
      </c>
    </row>
    <row r="73" spans="1:9" ht="16.5" customHeight="1" x14ac:dyDescent="0.25">
      <c r="A73" s="307" t="s">
        <v>207</v>
      </c>
      <c r="B73" s="307"/>
      <c r="C73" s="307"/>
      <c r="D73" s="307"/>
      <c r="E73" s="307"/>
      <c r="F73" s="307"/>
      <c r="G73" s="307"/>
      <c r="H73" s="307"/>
      <c r="I73" s="307"/>
    </row>
    <row r="74" spans="1:9" ht="18.75" customHeight="1" x14ac:dyDescent="0.25">
      <c r="A74" s="114" t="s">
        <v>33</v>
      </c>
      <c r="B74" s="40" t="s">
        <v>8</v>
      </c>
      <c r="C74" s="118" t="s">
        <v>25</v>
      </c>
      <c r="D74" s="109">
        <f>SUM(E74:I74)</f>
        <v>6000</v>
      </c>
      <c r="E74" s="112">
        <f>SUM('sav.f. 3 '!F52)</f>
        <v>6000</v>
      </c>
      <c r="F74" s="112"/>
      <c r="G74" s="112"/>
      <c r="H74" s="112"/>
      <c r="I74" s="111"/>
    </row>
    <row r="75" spans="1:9" ht="18.75" customHeight="1" x14ac:dyDescent="0.25">
      <c r="A75" s="161" t="s">
        <v>34</v>
      </c>
      <c r="B75" s="40" t="s">
        <v>8</v>
      </c>
      <c r="C75" s="63" t="s">
        <v>307</v>
      </c>
      <c r="D75" s="109">
        <f>SUM(E75:I75)</f>
        <v>10462</v>
      </c>
      <c r="E75" s="162">
        <f>SUM('sav.f. 3 '!F119)</f>
        <v>742</v>
      </c>
      <c r="F75" s="162">
        <f>SUM('Valst.f. 4'!F50)</f>
        <v>9720</v>
      </c>
      <c r="G75" s="162"/>
      <c r="H75" s="162"/>
      <c r="I75" s="163"/>
    </row>
    <row r="76" spans="1:9" ht="16.5" customHeight="1" x14ac:dyDescent="0.25">
      <c r="A76" s="306" t="s">
        <v>193</v>
      </c>
      <c r="B76" s="306"/>
      <c r="C76" s="306"/>
      <c r="D76" s="119">
        <f>SUM(D74:D75)</f>
        <v>16462</v>
      </c>
      <c r="E76" s="119">
        <f>SUM(E74:E75)</f>
        <v>6742</v>
      </c>
      <c r="F76" s="119">
        <f>SUM(F74:F75)</f>
        <v>9720</v>
      </c>
      <c r="G76" s="119">
        <f t="shared" ref="G76:I76" si="3">SUM(G74:G74)</f>
        <v>0</v>
      </c>
      <c r="H76" s="119">
        <f t="shared" si="3"/>
        <v>0</v>
      </c>
      <c r="I76" s="120">
        <f t="shared" si="3"/>
        <v>0</v>
      </c>
    </row>
    <row r="77" spans="1:9" ht="21" customHeight="1" x14ac:dyDescent="0.25">
      <c r="A77" s="305" t="s">
        <v>208</v>
      </c>
      <c r="B77" s="305"/>
      <c r="C77" s="305"/>
      <c r="D77" s="305"/>
      <c r="E77" s="305"/>
      <c r="F77" s="305"/>
      <c r="G77" s="305"/>
      <c r="H77" s="305"/>
      <c r="I77" s="305"/>
    </row>
    <row r="78" spans="1:9" ht="18.75" customHeight="1" x14ac:dyDescent="0.25">
      <c r="A78" s="75" t="s">
        <v>33</v>
      </c>
      <c r="B78" s="5" t="s">
        <v>8</v>
      </c>
      <c r="C78" s="5" t="s">
        <v>68</v>
      </c>
      <c r="D78" s="40">
        <f t="shared" ref="D78:D82" si="4">SUM(E78:I78)</f>
        <v>130848</v>
      </c>
      <c r="E78" s="40">
        <f>SUM('sav.f. 3 '!F70)</f>
        <v>15000</v>
      </c>
      <c r="F78" s="5">
        <f>SUM('Valst.f. 4'!F58)</f>
        <v>115848</v>
      </c>
      <c r="G78" s="5"/>
      <c r="H78" s="5"/>
      <c r="I78" s="64"/>
    </row>
    <row r="79" spans="1:9" ht="18.75" customHeight="1" x14ac:dyDescent="0.25">
      <c r="A79" s="75" t="s">
        <v>34</v>
      </c>
      <c r="B79" s="5" t="s">
        <v>8</v>
      </c>
      <c r="C79" s="5" t="s">
        <v>28</v>
      </c>
      <c r="D79" s="5">
        <f t="shared" si="4"/>
        <v>4100</v>
      </c>
      <c r="E79" s="5">
        <f>SUM('sav.f. 3 '!F71)</f>
        <v>4100</v>
      </c>
      <c r="F79" s="5"/>
      <c r="G79" s="5"/>
      <c r="H79" s="5"/>
      <c r="I79" s="64"/>
    </row>
    <row r="80" spans="1:9" ht="18.75" customHeight="1" x14ac:dyDescent="0.25">
      <c r="A80" s="75" t="s">
        <v>35</v>
      </c>
      <c r="B80" s="5" t="s">
        <v>8</v>
      </c>
      <c r="C80" s="63" t="s">
        <v>209</v>
      </c>
      <c r="D80" s="5">
        <f t="shared" si="4"/>
        <v>2900</v>
      </c>
      <c r="E80" s="5">
        <f>SUM('sav.f. 3 '!F72)</f>
        <v>2900</v>
      </c>
      <c r="F80" s="5"/>
      <c r="G80" s="5"/>
      <c r="H80" s="5"/>
      <c r="I80" s="64"/>
    </row>
    <row r="81" spans="1:9" ht="18.75" customHeight="1" x14ac:dyDescent="0.25">
      <c r="A81" s="75" t="s">
        <v>36</v>
      </c>
      <c r="B81" s="63" t="s">
        <v>117</v>
      </c>
      <c r="C81" s="63" t="s">
        <v>15</v>
      </c>
      <c r="D81" s="5">
        <f t="shared" si="4"/>
        <v>87494</v>
      </c>
      <c r="E81" s="5">
        <f>SUM('sav.f. 3 '!F74)</f>
        <v>13150</v>
      </c>
      <c r="F81" s="5">
        <f>SUM('Valst.f. 4'!F55:F56)</f>
        <v>72044</v>
      </c>
      <c r="G81" s="5"/>
      <c r="H81" s="5"/>
      <c r="I81" s="5">
        <f>SUM(Spec.7!H25)</f>
        <v>2300</v>
      </c>
    </row>
    <row r="82" spans="1:9" ht="17.25" customHeight="1" x14ac:dyDescent="0.25">
      <c r="A82" s="304" t="s">
        <v>193</v>
      </c>
      <c r="B82" s="304"/>
      <c r="C82" s="304"/>
      <c r="D82" s="110">
        <f t="shared" si="4"/>
        <v>225342</v>
      </c>
      <c r="E82" s="110">
        <f>SUM(E78:E81)</f>
        <v>35150</v>
      </c>
      <c r="F82" s="45">
        <f>SUM(F78:F81)</f>
        <v>187892</v>
      </c>
      <c r="G82" s="45">
        <f>SUM(G78:G81)</f>
        <v>0</v>
      </c>
      <c r="H82" s="45">
        <f>SUM(H78:H81)</f>
        <v>0</v>
      </c>
      <c r="I82" s="45">
        <f>SUM(I78:I81)</f>
        <v>2300</v>
      </c>
    </row>
    <row r="83" spans="1:9" ht="19.5" customHeight="1" x14ac:dyDescent="0.25">
      <c r="A83" s="305" t="s">
        <v>210</v>
      </c>
      <c r="B83" s="305"/>
      <c r="C83" s="305"/>
      <c r="D83" s="305"/>
      <c r="E83" s="305"/>
      <c r="F83" s="305"/>
      <c r="G83" s="305"/>
      <c r="H83" s="305"/>
      <c r="I83" s="305"/>
    </row>
    <row r="84" spans="1:9" ht="16.5" customHeight="1" x14ac:dyDescent="0.25">
      <c r="A84" s="75" t="s">
        <v>33</v>
      </c>
      <c r="B84" s="5" t="s">
        <v>18</v>
      </c>
      <c r="C84" s="5" t="s">
        <v>166</v>
      </c>
      <c r="D84" s="5">
        <f>SUM(E84:I84)</f>
        <v>382740</v>
      </c>
      <c r="E84" s="5">
        <f>SUM('sav.f. 3 '!F78)</f>
        <v>382010</v>
      </c>
      <c r="F84" s="5"/>
      <c r="G84" s="5"/>
      <c r="H84" s="5"/>
      <c r="I84" s="5">
        <f>SUM(Spec.7!H27)</f>
        <v>730</v>
      </c>
    </row>
    <row r="85" spans="1:9" ht="16.5" customHeight="1" x14ac:dyDescent="0.25">
      <c r="A85" s="75" t="s">
        <v>34</v>
      </c>
      <c r="B85" s="5" t="s">
        <v>19</v>
      </c>
      <c r="C85" s="5" t="s">
        <v>6</v>
      </c>
      <c r="D85" s="5">
        <f t="shared" ref="D85:D90" si="5">SUM(E85:I85)</f>
        <v>75311</v>
      </c>
      <c r="E85" s="5">
        <f>SUM('sav.f. 3 '!F79)</f>
        <v>75311</v>
      </c>
      <c r="F85" s="5"/>
      <c r="G85" s="5"/>
      <c r="H85" s="5"/>
      <c r="I85" s="64"/>
    </row>
    <row r="86" spans="1:9" ht="16.5" customHeight="1" x14ac:dyDescent="0.25">
      <c r="A86" s="75" t="s">
        <v>35</v>
      </c>
      <c r="B86" s="5" t="s">
        <v>8</v>
      </c>
      <c r="C86" s="5" t="s">
        <v>150</v>
      </c>
      <c r="D86" s="40">
        <f t="shared" si="5"/>
        <v>343000</v>
      </c>
      <c r="E86" s="40">
        <f>SUM('sav.f. 3 '!G75)</f>
        <v>343000</v>
      </c>
      <c r="F86" s="40"/>
      <c r="G86" s="40"/>
      <c r="H86" s="40"/>
      <c r="I86" s="111"/>
    </row>
    <row r="87" spans="1:9" ht="16.5" customHeight="1" x14ac:dyDescent="0.25">
      <c r="A87" s="75" t="s">
        <v>36</v>
      </c>
      <c r="B87" s="5" t="s">
        <v>8</v>
      </c>
      <c r="C87" s="5" t="s">
        <v>398</v>
      </c>
      <c r="D87" s="40">
        <f t="shared" si="5"/>
        <v>231696</v>
      </c>
      <c r="E87" s="40"/>
      <c r="F87" s="40">
        <f>SUM('Valst.f. 4'!I57)</f>
        <v>231696</v>
      </c>
      <c r="G87" s="40"/>
      <c r="H87" s="40"/>
      <c r="I87" s="111"/>
    </row>
    <row r="88" spans="1:9" ht="16.5" customHeight="1" x14ac:dyDescent="0.25">
      <c r="A88" s="75" t="s">
        <v>37</v>
      </c>
      <c r="B88" s="5" t="s">
        <v>8</v>
      </c>
      <c r="C88" s="60" t="s">
        <v>440</v>
      </c>
      <c r="D88" s="40">
        <f t="shared" si="5"/>
        <v>5000</v>
      </c>
      <c r="E88" s="40">
        <f>SUM('sav.f. 3 '!F76)</f>
        <v>5000</v>
      </c>
      <c r="F88" s="40"/>
      <c r="G88" s="40"/>
      <c r="H88" s="40"/>
      <c r="I88" s="111"/>
    </row>
    <row r="89" spans="1:9" ht="16.5" customHeight="1" x14ac:dyDescent="0.25">
      <c r="A89" s="75" t="s">
        <v>38</v>
      </c>
      <c r="B89" s="5" t="s">
        <v>8</v>
      </c>
      <c r="C89" s="50" t="s">
        <v>441</v>
      </c>
      <c r="D89" s="40">
        <f t="shared" si="5"/>
        <v>18000</v>
      </c>
      <c r="E89" s="40">
        <f>SUM('sav.f. 3 '!F77)</f>
        <v>18000</v>
      </c>
      <c r="F89" s="40"/>
      <c r="G89" s="40"/>
      <c r="H89" s="40"/>
      <c r="I89" s="111"/>
    </row>
    <row r="90" spans="1:9" ht="16.5" customHeight="1" x14ac:dyDescent="0.25">
      <c r="A90" s="75" t="s">
        <v>39</v>
      </c>
      <c r="B90" s="5" t="s">
        <v>8</v>
      </c>
      <c r="C90" s="5" t="s">
        <v>425</v>
      </c>
      <c r="D90" s="40">
        <f t="shared" si="5"/>
        <v>250394</v>
      </c>
      <c r="E90" s="40">
        <f>SUM('sav.f. 3 '!F99)</f>
        <v>250394</v>
      </c>
      <c r="F90" s="40"/>
      <c r="G90" s="40"/>
      <c r="H90" s="40"/>
      <c r="I90" s="111"/>
    </row>
    <row r="91" spans="1:9" ht="15" customHeight="1" x14ac:dyDescent="0.25">
      <c r="A91" s="304" t="s">
        <v>193</v>
      </c>
      <c r="B91" s="304"/>
      <c r="C91" s="304"/>
      <c r="D91" s="110">
        <f>SUM(E91:I91)</f>
        <v>1306141</v>
      </c>
      <c r="E91" s="117">
        <f>SUM(E84:E90)</f>
        <v>1073715</v>
      </c>
      <c r="F91" s="117">
        <f>SUM(F84:F90)</f>
        <v>231696</v>
      </c>
      <c r="G91" s="117">
        <f>SUM(G84:G90)</f>
        <v>0</v>
      </c>
      <c r="H91" s="117">
        <f>SUM(H84:H90)</f>
        <v>0</v>
      </c>
      <c r="I91" s="117">
        <f>SUM(I84:I90)</f>
        <v>730</v>
      </c>
    </row>
    <row r="92" spans="1:9" ht="18" customHeight="1" x14ac:dyDescent="0.25">
      <c r="A92" s="305" t="s">
        <v>211</v>
      </c>
      <c r="B92" s="305"/>
      <c r="C92" s="305"/>
      <c r="D92" s="305"/>
      <c r="E92" s="305"/>
      <c r="F92" s="305"/>
      <c r="G92" s="305"/>
      <c r="H92" s="305"/>
      <c r="I92" s="305"/>
    </row>
    <row r="93" spans="1:9" ht="18" customHeight="1" x14ac:dyDescent="0.25">
      <c r="A93" s="75" t="s">
        <v>33</v>
      </c>
      <c r="B93" s="5" t="s">
        <v>8</v>
      </c>
      <c r="C93" s="60" t="s">
        <v>373</v>
      </c>
      <c r="D93" s="109">
        <f>SUM(E93:I93)</f>
        <v>35848</v>
      </c>
      <c r="E93" s="32">
        <f>SUM('sav.f. 3 '!F80)</f>
        <v>35848</v>
      </c>
      <c r="F93" s="112"/>
      <c r="G93" s="112"/>
      <c r="H93" s="112"/>
      <c r="I93" s="64"/>
    </row>
    <row r="94" spans="1:9" ht="18" customHeight="1" x14ac:dyDescent="0.25">
      <c r="A94" s="75" t="s">
        <v>34</v>
      </c>
      <c r="B94" s="5" t="s">
        <v>8</v>
      </c>
      <c r="C94" s="5" t="s">
        <v>321</v>
      </c>
      <c r="D94" s="32">
        <f>SUM(E94:I94)</f>
        <v>7500</v>
      </c>
      <c r="E94" s="32">
        <f>SUM('sav.f. 3 '!F82)</f>
        <v>7500</v>
      </c>
      <c r="F94" s="9"/>
      <c r="G94" s="9"/>
      <c r="H94" s="9"/>
      <c r="I94" s="64"/>
    </row>
    <row r="95" spans="1:9" ht="33" customHeight="1" x14ac:dyDescent="0.25">
      <c r="A95" s="75" t="s">
        <v>35</v>
      </c>
      <c r="B95" s="5" t="s">
        <v>8</v>
      </c>
      <c r="C95" s="160" t="s">
        <v>322</v>
      </c>
      <c r="D95" s="32">
        <f>SUM(E95:I95)</f>
        <v>7500</v>
      </c>
      <c r="E95" s="32">
        <f>SUM('sav.f. 3 '!F107)</f>
        <v>7500</v>
      </c>
      <c r="F95" s="9"/>
      <c r="G95" s="9"/>
      <c r="H95" s="9"/>
      <c r="I95" s="64"/>
    </row>
    <row r="96" spans="1:9" ht="18" customHeight="1" x14ac:dyDescent="0.25">
      <c r="A96" s="75" t="s">
        <v>36</v>
      </c>
      <c r="B96" s="5" t="s">
        <v>8</v>
      </c>
      <c r="C96" s="5" t="s">
        <v>320</v>
      </c>
      <c r="D96" s="32">
        <f>SUM(E96:I96)</f>
        <v>19700</v>
      </c>
      <c r="E96" s="32">
        <f>SUM('sav.f. 3 '!F81)</f>
        <v>19700</v>
      </c>
      <c r="F96" s="9"/>
      <c r="G96" s="9"/>
      <c r="H96" s="9"/>
      <c r="I96" s="64"/>
    </row>
    <row r="97" spans="1:9" ht="18.75" customHeight="1" x14ac:dyDescent="0.25">
      <c r="A97" s="303" t="s">
        <v>193</v>
      </c>
      <c r="B97" s="303"/>
      <c r="C97" s="303"/>
      <c r="D97" s="125">
        <f>SUM(E97:I97)</f>
        <v>70548</v>
      </c>
      <c r="E97" s="126">
        <f>SUM(E93:E96)</f>
        <v>70548</v>
      </c>
      <c r="F97" s="126">
        <f>SUM(F93:F94)</f>
        <v>0</v>
      </c>
      <c r="G97" s="126">
        <f>SUM(G93:G94)</f>
        <v>0</v>
      </c>
      <c r="H97" s="126">
        <f>SUM(H93:H94)</f>
        <v>0</v>
      </c>
      <c r="I97" s="94">
        <f>SUM(I93:I94)</f>
        <v>0</v>
      </c>
    </row>
    <row r="98" spans="1:9" ht="19.5" customHeight="1" x14ac:dyDescent="0.25">
      <c r="A98" s="305" t="s">
        <v>212</v>
      </c>
      <c r="B98" s="305"/>
      <c r="C98" s="305"/>
      <c r="D98" s="305"/>
      <c r="E98" s="305"/>
      <c r="F98" s="305"/>
      <c r="G98" s="305"/>
      <c r="H98" s="305"/>
      <c r="I98" s="305"/>
    </row>
    <row r="99" spans="1:9" ht="32.25" customHeight="1" x14ac:dyDescent="0.25">
      <c r="A99" s="76" t="s">
        <v>33</v>
      </c>
      <c r="B99" s="90" t="s">
        <v>346</v>
      </c>
      <c r="C99" s="9" t="s">
        <v>176</v>
      </c>
      <c r="D99" s="9">
        <f>SUM(E99:I99)</f>
        <v>501669</v>
      </c>
      <c r="E99" s="9">
        <f>SUM('sav.f. 3 '!F83)</f>
        <v>248789</v>
      </c>
      <c r="F99" s="9"/>
      <c r="G99" s="9">
        <f>SUM('MK 5'!F13)</f>
        <v>224186</v>
      </c>
      <c r="H99" s="9"/>
      <c r="I99" s="9">
        <f>SUM(Spec.7!H12)</f>
        <v>28694</v>
      </c>
    </row>
    <row r="100" spans="1:9" ht="32.25" customHeight="1" x14ac:dyDescent="0.25">
      <c r="A100" s="75" t="s">
        <v>34</v>
      </c>
      <c r="B100" s="50" t="s">
        <v>347</v>
      </c>
      <c r="C100" s="5" t="s">
        <v>176</v>
      </c>
      <c r="D100" s="40">
        <f t="shared" ref="D100:D117" si="6">SUM(E100:I100)</f>
        <v>463367</v>
      </c>
      <c r="E100" s="40">
        <f>SUM('sav.f. 3 '!F84)</f>
        <v>211604</v>
      </c>
      <c r="F100" s="9"/>
      <c r="G100" s="40">
        <f>SUM('MK 5'!F14)</f>
        <v>224167</v>
      </c>
      <c r="H100" s="40"/>
      <c r="I100" s="40">
        <f>SUM(Spec.7!H13)</f>
        <v>27596</v>
      </c>
    </row>
    <row r="101" spans="1:9" ht="34.5" customHeight="1" x14ac:dyDescent="0.25">
      <c r="A101" s="75" t="s">
        <v>35</v>
      </c>
      <c r="B101" s="50" t="s">
        <v>348</v>
      </c>
      <c r="C101" s="5" t="s">
        <v>177</v>
      </c>
      <c r="D101" s="40">
        <f t="shared" si="6"/>
        <v>72575</v>
      </c>
      <c r="E101" s="40">
        <f>SUM('sav.f. 3 '!F85)</f>
        <v>37105</v>
      </c>
      <c r="F101" s="9"/>
      <c r="G101" s="40">
        <f>SUM('MK 5'!F15)</f>
        <v>31470</v>
      </c>
      <c r="H101" s="40"/>
      <c r="I101" s="40">
        <f>SUM(Spec.7!H10)</f>
        <v>4000</v>
      </c>
    </row>
    <row r="102" spans="1:9" ht="31.5" customHeight="1" x14ac:dyDescent="0.25">
      <c r="A102" s="75" t="s">
        <v>36</v>
      </c>
      <c r="B102" s="50" t="s">
        <v>349</v>
      </c>
      <c r="C102" s="5" t="s">
        <v>177</v>
      </c>
      <c r="D102" s="40">
        <f t="shared" si="6"/>
        <v>197234</v>
      </c>
      <c r="E102" s="40">
        <f>SUM('sav.f. 3 '!F86)</f>
        <v>104693</v>
      </c>
      <c r="F102" s="5"/>
      <c r="G102" s="40">
        <f>SUM('MK 5'!F16)</f>
        <v>82193</v>
      </c>
      <c r="H102" s="40"/>
      <c r="I102" s="40">
        <f>SUM(Spec.7!H11)</f>
        <v>10348</v>
      </c>
    </row>
    <row r="103" spans="1:9" ht="18.75" customHeight="1" x14ac:dyDescent="0.25">
      <c r="A103" s="75" t="s">
        <v>37</v>
      </c>
      <c r="B103" s="50" t="s">
        <v>350</v>
      </c>
      <c r="C103" s="5" t="s">
        <v>399</v>
      </c>
      <c r="D103" s="109">
        <f t="shared" si="6"/>
        <v>208329</v>
      </c>
      <c r="E103" s="112">
        <f>SUM('sav.f. 3 '!F87)</f>
        <v>59939</v>
      </c>
      <c r="F103" s="9"/>
      <c r="G103" s="112">
        <f>SUM('MK 5'!F17)</f>
        <v>148390</v>
      </c>
      <c r="H103" s="112"/>
      <c r="I103" s="40"/>
    </row>
    <row r="104" spans="1:9" ht="17.25" customHeight="1" x14ac:dyDescent="0.25">
      <c r="A104" s="75" t="s">
        <v>38</v>
      </c>
      <c r="B104" s="50" t="s">
        <v>351</v>
      </c>
      <c r="C104" s="5" t="s">
        <v>399</v>
      </c>
      <c r="D104" s="109">
        <f t="shared" si="6"/>
        <v>168662</v>
      </c>
      <c r="E104" s="112">
        <f>SUM('sav.f. 3 '!F88)</f>
        <v>37187</v>
      </c>
      <c r="F104" s="9"/>
      <c r="G104" s="112">
        <f>SUM('MK 5'!F18)</f>
        <v>131475</v>
      </c>
      <c r="H104" s="112"/>
      <c r="I104" s="40"/>
    </row>
    <row r="105" spans="1:9" ht="33" customHeight="1" x14ac:dyDescent="0.25">
      <c r="A105" s="75" t="s">
        <v>39</v>
      </c>
      <c r="B105" s="50" t="s">
        <v>352</v>
      </c>
      <c r="C105" s="5" t="s">
        <v>399</v>
      </c>
      <c r="D105" s="109">
        <f t="shared" si="6"/>
        <v>302067</v>
      </c>
      <c r="E105" s="112">
        <f>SUM('sav.f. 3 '!F89)</f>
        <v>84461</v>
      </c>
      <c r="F105" s="9"/>
      <c r="G105" s="112">
        <f>SUM('MK 5'!F19)</f>
        <v>214806</v>
      </c>
      <c r="H105" s="112"/>
      <c r="I105" s="113">
        <f>SUM(Spec.7!H22)</f>
        <v>2800</v>
      </c>
    </row>
    <row r="106" spans="1:9" ht="18" customHeight="1" x14ac:dyDescent="0.25">
      <c r="A106" s="75" t="s">
        <v>40</v>
      </c>
      <c r="B106" s="69" t="s">
        <v>353</v>
      </c>
      <c r="C106" s="5" t="s">
        <v>399</v>
      </c>
      <c r="D106" s="109">
        <f t="shared" si="6"/>
        <v>296245</v>
      </c>
      <c r="E106" s="112">
        <f>SUM('sav.f. 3 '!F90)</f>
        <v>102870</v>
      </c>
      <c r="F106" s="9"/>
      <c r="G106" s="112">
        <f>SUM('MK 5'!F20)</f>
        <v>184375</v>
      </c>
      <c r="H106" s="112"/>
      <c r="I106" s="40">
        <f>SUM(Spec.7!H20)</f>
        <v>9000</v>
      </c>
    </row>
    <row r="107" spans="1:9" ht="18" customHeight="1" x14ac:dyDescent="0.25">
      <c r="A107" s="75" t="s">
        <v>41</v>
      </c>
      <c r="B107" s="69" t="s">
        <v>354</v>
      </c>
      <c r="C107" s="5" t="s">
        <v>399</v>
      </c>
      <c r="D107" s="109">
        <f t="shared" si="6"/>
        <v>214871</v>
      </c>
      <c r="E107" s="112">
        <f>SUM('sav.f. 3 '!F91)</f>
        <v>59911</v>
      </c>
      <c r="F107" s="9"/>
      <c r="G107" s="112">
        <f>SUM('MK 5'!F21)</f>
        <v>154760</v>
      </c>
      <c r="H107" s="112"/>
      <c r="I107" s="40">
        <f>SUM(Spec.7!H19)</f>
        <v>200</v>
      </c>
    </row>
    <row r="108" spans="1:9" ht="18" customHeight="1" x14ac:dyDescent="0.25">
      <c r="A108" s="75" t="s">
        <v>42</v>
      </c>
      <c r="B108" s="69" t="s">
        <v>355</v>
      </c>
      <c r="C108" s="5" t="s">
        <v>399</v>
      </c>
      <c r="D108" s="109">
        <f t="shared" si="6"/>
        <v>188154</v>
      </c>
      <c r="E108" s="112">
        <f>SUM('sav.f. 3 '!F92)</f>
        <v>38841</v>
      </c>
      <c r="F108" s="9"/>
      <c r="G108" s="112">
        <f>SUM('MK 5'!F22)</f>
        <v>149313</v>
      </c>
      <c r="H108" s="112"/>
      <c r="I108" s="40"/>
    </row>
    <row r="109" spans="1:9" ht="18" customHeight="1" x14ac:dyDescent="0.25">
      <c r="A109" s="75" t="s">
        <v>43</v>
      </c>
      <c r="B109" s="5" t="s">
        <v>356</v>
      </c>
      <c r="C109" s="5" t="s">
        <v>399</v>
      </c>
      <c r="D109" s="109">
        <f t="shared" si="6"/>
        <v>359116</v>
      </c>
      <c r="E109" s="112">
        <f>SUM('sav.f. 3 '!F93)</f>
        <v>94783</v>
      </c>
      <c r="F109" s="9"/>
      <c r="G109" s="112">
        <f>SUM('MK 5'!F23)</f>
        <v>263683</v>
      </c>
      <c r="H109" s="112"/>
      <c r="I109" s="40">
        <f>SUM(Spec.7!H17)</f>
        <v>650</v>
      </c>
    </row>
    <row r="110" spans="1:9" ht="18" customHeight="1" x14ac:dyDescent="0.25">
      <c r="A110" s="75" t="s">
        <v>44</v>
      </c>
      <c r="B110" s="5" t="s">
        <v>357</v>
      </c>
      <c r="C110" s="5" t="s">
        <v>399</v>
      </c>
      <c r="D110" s="109">
        <f t="shared" si="6"/>
        <v>362064</v>
      </c>
      <c r="E110" s="112">
        <f>SUM('sav.f. 3 '!F94)</f>
        <v>136059</v>
      </c>
      <c r="F110" s="9"/>
      <c r="G110" s="112">
        <f>SUM('MK 5'!F24)</f>
        <v>225645</v>
      </c>
      <c r="H110" s="112"/>
      <c r="I110" s="40">
        <f>SUM(Spec.7!H18)</f>
        <v>360</v>
      </c>
    </row>
    <row r="111" spans="1:9" ht="18" customHeight="1" x14ac:dyDescent="0.25">
      <c r="A111" s="75" t="s">
        <v>45</v>
      </c>
      <c r="B111" s="5" t="s">
        <v>306</v>
      </c>
      <c r="C111" s="5" t="s">
        <v>399</v>
      </c>
      <c r="D111" s="40">
        <f t="shared" si="6"/>
        <v>771142</v>
      </c>
      <c r="E111" s="40">
        <f>SUM('sav.f. 3 '!F95)</f>
        <v>203764</v>
      </c>
      <c r="F111" s="9">
        <f>SUM('Valst.f. 4'!F59)</f>
        <v>130329</v>
      </c>
      <c r="G111" s="40">
        <f>SUM('MK 5'!F25)</f>
        <v>436516</v>
      </c>
      <c r="H111" s="40"/>
      <c r="I111" s="40">
        <f>SUM(Spec.7!H15)</f>
        <v>533</v>
      </c>
    </row>
    <row r="112" spans="1:9" ht="30.75" customHeight="1" x14ac:dyDescent="0.25">
      <c r="A112" s="75" t="s">
        <v>46</v>
      </c>
      <c r="B112" s="50" t="s">
        <v>359</v>
      </c>
      <c r="C112" s="5" t="s">
        <v>399</v>
      </c>
      <c r="D112" s="40">
        <f t="shared" si="6"/>
        <v>605386</v>
      </c>
      <c r="E112" s="40">
        <f>SUM('sav.f. 3 '!F96)</f>
        <v>186330</v>
      </c>
      <c r="F112" s="9"/>
      <c r="G112" s="40">
        <f>SUM('MK 5'!F26)</f>
        <v>418416</v>
      </c>
      <c r="H112" s="40"/>
      <c r="I112" s="40">
        <f>SUM(Spec.7!H16)</f>
        <v>640</v>
      </c>
    </row>
    <row r="113" spans="1:9" ht="32.25" customHeight="1" x14ac:dyDescent="0.25">
      <c r="A113" s="75" t="s">
        <v>47</v>
      </c>
      <c r="B113" s="50" t="s">
        <v>358</v>
      </c>
      <c r="C113" s="5" t="s">
        <v>399</v>
      </c>
      <c r="D113" s="108">
        <f t="shared" si="6"/>
        <v>1231650</v>
      </c>
      <c r="E113" s="40">
        <f>SUM('sav.f. 3 '!F97)</f>
        <v>240917</v>
      </c>
      <c r="F113" s="40">
        <f>SUM('Valst.f. 4'!F62)</f>
        <v>17137</v>
      </c>
      <c r="G113" s="40">
        <f>SUM('MK 5'!F27)</f>
        <v>964980</v>
      </c>
      <c r="H113" s="40"/>
      <c r="I113" s="40">
        <f>SUM(Spec.7!H14)</f>
        <v>8616</v>
      </c>
    </row>
    <row r="114" spans="1:9" ht="18.75" customHeight="1" x14ac:dyDescent="0.25">
      <c r="A114" s="75" t="s">
        <v>48</v>
      </c>
      <c r="B114" s="50" t="s">
        <v>26</v>
      </c>
      <c r="C114" s="65" t="s">
        <v>164</v>
      </c>
      <c r="D114" s="108">
        <f t="shared" si="6"/>
        <v>372283</v>
      </c>
      <c r="E114" s="112">
        <f>SUM('sav.f. 3 '!F98)</f>
        <v>291243</v>
      </c>
      <c r="F114" s="40"/>
      <c r="G114" s="112">
        <f>SUM('MK 5'!F28)</f>
        <v>43520</v>
      </c>
      <c r="H114" s="112"/>
      <c r="I114" s="40">
        <f>SUM(Spec.7!H21)</f>
        <v>37520</v>
      </c>
    </row>
    <row r="115" spans="1:9" ht="18" customHeight="1" x14ac:dyDescent="0.25">
      <c r="A115" s="75" t="s">
        <v>49</v>
      </c>
      <c r="B115" s="15" t="s">
        <v>8</v>
      </c>
      <c r="C115" s="70" t="s">
        <v>69</v>
      </c>
      <c r="D115" s="109">
        <f t="shared" si="6"/>
        <v>74490</v>
      </c>
      <c r="E115" s="40">
        <f>SUM('sav.f. 3 '!F100)</f>
        <v>43000</v>
      </c>
      <c r="F115" s="112"/>
      <c r="G115" s="40">
        <f>SUM('MK 5'!G29)</f>
        <v>31490</v>
      </c>
      <c r="H115" s="40"/>
      <c r="I115" s="40"/>
    </row>
    <row r="116" spans="1:9" ht="18" customHeight="1" x14ac:dyDescent="0.25">
      <c r="A116" s="75" t="s">
        <v>50</v>
      </c>
      <c r="B116" s="5" t="s">
        <v>8</v>
      </c>
      <c r="C116" s="65" t="s">
        <v>213</v>
      </c>
      <c r="D116" s="108">
        <f t="shared" si="6"/>
        <v>140000</v>
      </c>
      <c r="E116" s="40">
        <f>SUM('sav.f. 3 '!F101)</f>
        <v>140000</v>
      </c>
      <c r="F116" s="40"/>
      <c r="G116" s="40"/>
      <c r="H116" s="40"/>
      <c r="I116" s="40"/>
    </row>
    <row r="117" spans="1:9" ht="18" customHeight="1" x14ac:dyDescent="0.25">
      <c r="A117" s="75" t="s">
        <v>51</v>
      </c>
      <c r="B117" s="5" t="s">
        <v>8</v>
      </c>
      <c r="C117" s="50" t="s">
        <v>163</v>
      </c>
      <c r="D117" s="40">
        <f t="shared" si="6"/>
        <v>0</v>
      </c>
      <c r="E117" s="40">
        <f>SUM('sav.f. 3 '!F103)</f>
        <v>0</v>
      </c>
      <c r="F117" s="40"/>
      <c r="G117" s="40"/>
      <c r="H117" s="40"/>
      <c r="I117" s="40"/>
    </row>
    <row r="118" spans="1:9" ht="18" customHeight="1" x14ac:dyDescent="0.25">
      <c r="A118" s="75" t="s">
        <v>52</v>
      </c>
      <c r="B118" s="15" t="s">
        <v>8</v>
      </c>
      <c r="C118" s="62" t="s">
        <v>110</v>
      </c>
      <c r="D118" s="109">
        <f>SUM(E118:I118)</f>
        <v>4700</v>
      </c>
      <c r="E118" s="40">
        <f>SUM('sav.f. 3 '!F102)</f>
        <v>4700</v>
      </c>
      <c r="F118" s="40"/>
      <c r="G118" s="40"/>
      <c r="H118" s="40"/>
      <c r="I118" s="40"/>
    </row>
    <row r="119" spans="1:9" ht="18" customHeight="1" x14ac:dyDescent="0.25">
      <c r="A119" s="75" t="s">
        <v>53</v>
      </c>
      <c r="B119" s="15" t="s">
        <v>8</v>
      </c>
      <c r="C119" s="60" t="s">
        <v>341</v>
      </c>
      <c r="D119" s="109">
        <f>SUM(E119:I119)</f>
        <v>2200</v>
      </c>
      <c r="E119" s="40">
        <f>SUM('sav.f. 3 '!G27)</f>
        <v>2200</v>
      </c>
      <c r="F119" s="40"/>
      <c r="G119" s="40"/>
      <c r="H119" s="40"/>
      <c r="I119" s="40"/>
    </row>
    <row r="120" spans="1:9" ht="18" customHeight="1" x14ac:dyDescent="0.25">
      <c r="A120" s="75" t="s">
        <v>54</v>
      </c>
      <c r="B120" s="15" t="s">
        <v>8</v>
      </c>
      <c r="C120" s="206" t="s">
        <v>464</v>
      </c>
      <c r="D120" s="109">
        <f>SUM(E120:I120)</f>
        <v>28202</v>
      </c>
      <c r="E120" s="40">
        <f>SUM('sav.f. 3 '!G104)</f>
        <v>28202</v>
      </c>
      <c r="F120" s="40"/>
      <c r="G120" s="40"/>
      <c r="H120" s="40"/>
      <c r="I120" s="40"/>
    </row>
    <row r="121" spans="1:9" ht="18" customHeight="1" x14ac:dyDescent="0.25">
      <c r="A121" s="75" t="s">
        <v>55</v>
      </c>
      <c r="B121" s="15" t="s">
        <v>8</v>
      </c>
      <c r="C121" s="62" t="s">
        <v>178</v>
      </c>
      <c r="D121" s="109">
        <f>SUM(E121:I121)</f>
        <v>63910</v>
      </c>
      <c r="E121" s="40"/>
      <c r="F121" s="40"/>
      <c r="G121" s="40">
        <f>SUM('MK 5'!F30)</f>
        <v>63910</v>
      </c>
      <c r="H121" s="40"/>
      <c r="I121" s="111"/>
    </row>
    <row r="122" spans="1:9" ht="18" customHeight="1" x14ac:dyDescent="0.25">
      <c r="A122" s="304" t="s">
        <v>193</v>
      </c>
      <c r="B122" s="304"/>
      <c r="C122" s="304"/>
      <c r="D122" s="110">
        <f>SUM(E122:I122)</f>
        <v>6628316</v>
      </c>
      <c r="E122" s="110">
        <f>SUM(E99:E121)</f>
        <v>2356598</v>
      </c>
      <c r="F122" s="110">
        <f>SUM(F99:F121)</f>
        <v>147466</v>
      </c>
      <c r="G122" s="110">
        <f>SUM(G99:G121)</f>
        <v>3993295</v>
      </c>
      <c r="H122" s="110">
        <f>SUM(H99:H121)</f>
        <v>0</v>
      </c>
      <c r="I122" s="110">
        <f>SUM(I99:I121)</f>
        <v>130957</v>
      </c>
    </row>
    <row r="123" spans="1:9" ht="27" customHeight="1" x14ac:dyDescent="0.25">
      <c r="A123" s="305" t="s">
        <v>214</v>
      </c>
      <c r="B123" s="305"/>
      <c r="C123" s="305"/>
      <c r="D123" s="305"/>
      <c r="E123" s="305"/>
      <c r="F123" s="305"/>
      <c r="G123" s="305"/>
      <c r="H123" s="305"/>
      <c r="I123" s="305"/>
    </row>
    <row r="124" spans="1:9" ht="34.5" customHeight="1" x14ac:dyDescent="0.25">
      <c r="A124" s="75" t="s">
        <v>33</v>
      </c>
      <c r="B124" s="104" t="s">
        <v>112</v>
      </c>
      <c r="C124" s="70" t="s">
        <v>215</v>
      </c>
      <c r="D124" s="32">
        <f>SUM(E124:I124)</f>
        <v>110758</v>
      </c>
      <c r="E124" s="9">
        <f>SUM('sav.f. 3 '!F106)</f>
        <v>87060</v>
      </c>
      <c r="F124" s="9"/>
      <c r="G124" s="32"/>
      <c r="H124" s="32"/>
      <c r="I124" s="5">
        <f>SUM(Spec.7!H24)</f>
        <v>23698</v>
      </c>
    </row>
    <row r="125" spans="1:9" ht="18.75" customHeight="1" x14ac:dyDescent="0.25">
      <c r="A125" s="114" t="s">
        <v>34</v>
      </c>
      <c r="B125" s="5" t="s">
        <v>8</v>
      </c>
      <c r="C125" s="65" t="s">
        <v>162</v>
      </c>
      <c r="D125" s="43">
        <f t="shared" ref="D125:D145" si="7">SUM(E125:I125)</f>
        <v>673604</v>
      </c>
      <c r="E125" s="5">
        <f>SUM('sav.f. 3 '!F108:F111)</f>
        <v>274000</v>
      </c>
      <c r="F125" s="5">
        <f>SUM('Valst.f. 4'!F52,'Valst.f. 4'!F54)</f>
        <v>399604</v>
      </c>
      <c r="G125" s="43"/>
      <c r="H125" s="43"/>
      <c r="I125" s="64"/>
    </row>
    <row r="126" spans="1:9" ht="18.75" customHeight="1" x14ac:dyDescent="0.25">
      <c r="A126" s="75" t="s">
        <v>35</v>
      </c>
      <c r="B126" s="5" t="s">
        <v>8</v>
      </c>
      <c r="C126" s="5" t="s">
        <v>113</v>
      </c>
      <c r="D126" s="5">
        <f t="shared" si="7"/>
        <v>1500</v>
      </c>
      <c r="E126" s="5">
        <f>SUM('sav.f. 3 '!F115)</f>
        <v>1500</v>
      </c>
      <c r="F126" s="5"/>
      <c r="G126" s="5"/>
      <c r="H126" s="5"/>
      <c r="I126" s="64"/>
    </row>
    <row r="127" spans="1:9" ht="18.75" customHeight="1" x14ac:dyDescent="0.25">
      <c r="A127" s="75" t="s">
        <v>36</v>
      </c>
      <c r="B127" s="5" t="s">
        <v>8</v>
      </c>
      <c r="C127" s="65" t="s">
        <v>20</v>
      </c>
      <c r="D127" s="43">
        <f t="shared" si="7"/>
        <v>13000</v>
      </c>
      <c r="E127" s="5">
        <f>SUM('sav.f. 3 '!F112)</f>
        <v>13000</v>
      </c>
      <c r="F127" s="5"/>
      <c r="G127" s="43"/>
      <c r="H127" s="43"/>
      <c r="I127" s="64"/>
    </row>
    <row r="128" spans="1:9" ht="16.5" customHeight="1" x14ac:dyDescent="0.25">
      <c r="A128" s="75" t="s">
        <v>37</v>
      </c>
      <c r="B128" s="5" t="s">
        <v>8</v>
      </c>
      <c r="C128" s="5" t="s">
        <v>300</v>
      </c>
      <c r="D128" s="43">
        <f t="shared" si="7"/>
        <v>1680413</v>
      </c>
      <c r="E128" s="43">
        <v>2052</v>
      </c>
      <c r="F128" s="43">
        <f>SUM('Valst.f. 4'!F31:F32)</f>
        <v>137252</v>
      </c>
      <c r="G128" s="43"/>
      <c r="H128" s="43">
        <f>SUM('sav.f. 3 '!G113,'sav.f. 3 '!G114)-2052</f>
        <v>1541109</v>
      </c>
      <c r="I128" s="64"/>
    </row>
    <row r="129" spans="1:9" ht="16.5" customHeight="1" x14ac:dyDescent="0.25">
      <c r="A129" s="75" t="s">
        <v>38</v>
      </c>
      <c r="B129" s="5" t="s">
        <v>8</v>
      </c>
      <c r="C129" s="5" t="s">
        <v>396</v>
      </c>
      <c r="D129" s="5">
        <f t="shared" si="7"/>
        <v>8000</v>
      </c>
      <c r="E129" s="5">
        <f>SUM('sav.f. 3 '!F116)</f>
        <v>8000</v>
      </c>
      <c r="F129" s="5"/>
      <c r="G129" s="5"/>
      <c r="H129" s="5"/>
      <c r="I129" s="64"/>
    </row>
    <row r="130" spans="1:9" ht="16.5" customHeight="1" x14ac:dyDescent="0.25">
      <c r="A130" s="75" t="s">
        <v>39</v>
      </c>
      <c r="B130" s="5" t="s">
        <v>8</v>
      </c>
      <c r="C130" s="5" t="s">
        <v>301</v>
      </c>
      <c r="D130" s="5">
        <f t="shared" si="7"/>
        <v>5000</v>
      </c>
      <c r="E130" s="5">
        <f>SUM('sav.f. 3 '!F117)</f>
        <v>5000</v>
      </c>
      <c r="F130" s="5"/>
      <c r="G130" s="5"/>
      <c r="H130" s="5"/>
      <c r="I130" s="64"/>
    </row>
    <row r="131" spans="1:9" ht="19.5" customHeight="1" x14ac:dyDescent="0.25">
      <c r="A131" s="75" t="s">
        <v>40</v>
      </c>
      <c r="B131" s="5" t="s">
        <v>8</v>
      </c>
      <c r="C131" s="63" t="s">
        <v>132</v>
      </c>
      <c r="D131" s="5">
        <f t="shared" si="7"/>
        <v>47880</v>
      </c>
      <c r="E131" s="5"/>
      <c r="F131" s="5">
        <f>SUM('Valst.f. 4'!F33)</f>
        <v>47880</v>
      </c>
      <c r="G131" s="5"/>
      <c r="H131" s="5"/>
      <c r="I131" s="64"/>
    </row>
    <row r="132" spans="1:9" ht="31.5" customHeight="1" x14ac:dyDescent="0.25">
      <c r="A132" s="75" t="s">
        <v>41</v>
      </c>
      <c r="B132" s="67" t="s">
        <v>346</v>
      </c>
      <c r="C132" s="105" t="s">
        <v>132</v>
      </c>
      <c r="D132" s="32">
        <f t="shared" si="7"/>
        <v>7500</v>
      </c>
      <c r="E132" s="57"/>
      <c r="F132" s="5">
        <f>SUM('Valst.f. 4'!F35)</f>
        <v>7500</v>
      </c>
      <c r="G132" s="38"/>
      <c r="H132" s="38"/>
      <c r="I132" s="38"/>
    </row>
    <row r="133" spans="1:9" ht="31.5" customHeight="1" x14ac:dyDescent="0.25">
      <c r="A133" s="75" t="s">
        <v>42</v>
      </c>
      <c r="B133" s="50" t="s">
        <v>347</v>
      </c>
      <c r="C133" s="106" t="s">
        <v>132</v>
      </c>
      <c r="D133" s="32">
        <f t="shared" si="7"/>
        <v>11000</v>
      </c>
      <c r="E133" s="57"/>
      <c r="F133" s="5">
        <f>SUM('Valst.f. 4'!F36)</f>
        <v>11000</v>
      </c>
      <c r="G133" s="38"/>
      <c r="H133" s="38"/>
      <c r="I133" s="38"/>
    </row>
    <row r="134" spans="1:9" ht="30.75" customHeight="1" x14ac:dyDescent="0.25">
      <c r="A134" s="75" t="s">
        <v>43</v>
      </c>
      <c r="B134" s="50" t="s">
        <v>348</v>
      </c>
      <c r="C134" s="68" t="s">
        <v>132</v>
      </c>
      <c r="D134" s="32">
        <f t="shared" si="7"/>
        <v>190</v>
      </c>
      <c r="E134" s="43"/>
      <c r="F134" s="5">
        <f>SUM('Valst.f. 4'!F37)</f>
        <v>190</v>
      </c>
      <c r="G134" s="5"/>
      <c r="H134" s="5"/>
      <c r="I134" s="64"/>
    </row>
    <row r="135" spans="1:9" ht="31.5" customHeight="1" x14ac:dyDescent="0.25">
      <c r="A135" s="75" t="s">
        <v>44</v>
      </c>
      <c r="B135" s="50" t="s">
        <v>349</v>
      </c>
      <c r="C135" s="105" t="s">
        <v>132</v>
      </c>
      <c r="D135" s="32">
        <f t="shared" si="7"/>
        <v>1500</v>
      </c>
      <c r="E135" s="57"/>
      <c r="F135" s="5">
        <f>SUM('Valst.f. 4'!F38)</f>
        <v>1500</v>
      </c>
      <c r="G135" s="38"/>
      <c r="H135" s="38"/>
      <c r="I135" s="38"/>
    </row>
    <row r="136" spans="1:9" ht="17.25" customHeight="1" x14ac:dyDescent="0.25">
      <c r="A136" s="75" t="s">
        <v>45</v>
      </c>
      <c r="B136" s="50" t="s">
        <v>350</v>
      </c>
      <c r="C136" s="68" t="s">
        <v>132</v>
      </c>
      <c r="D136" s="32">
        <f t="shared" si="7"/>
        <v>10000</v>
      </c>
      <c r="E136" s="43"/>
      <c r="F136" s="5">
        <f>SUM('Valst.f. 4'!F39)</f>
        <v>10000</v>
      </c>
      <c r="G136" s="5"/>
      <c r="H136" s="5"/>
      <c r="I136" s="64"/>
    </row>
    <row r="137" spans="1:9" ht="17.25" customHeight="1" x14ac:dyDescent="0.25">
      <c r="A137" s="75" t="s">
        <v>46</v>
      </c>
      <c r="B137" s="50" t="s">
        <v>351</v>
      </c>
      <c r="C137" s="68" t="s">
        <v>132</v>
      </c>
      <c r="D137" s="32">
        <f t="shared" si="7"/>
        <v>5600</v>
      </c>
      <c r="E137" s="5"/>
      <c r="F137" s="5">
        <f>SUM('Valst.f. 4'!F40)</f>
        <v>5600</v>
      </c>
      <c r="G137" s="5"/>
      <c r="H137" s="5"/>
      <c r="I137" s="64"/>
    </row>
    <row r="138" spans="1:9" ht="34.5" customHeight="1" x14ac:dyDescent="0.25">
      <c r="A138" s="75" t="s">
        <v>47</v>
      </c>
      <c r="B138" s="50" t="s">
        <v>352</v>
      </c>
      <c r="C138" s="63" t="s">
        <v>132</v>
      </c>
      <c r="D138" s="5">
        <f t="shared" si="7"/>
        <v>13500</v>
      </c>
      <c r="E138" s="38"/>
      <c r="F138" s="5">
        <f>SUM('Valst.f. 4'!F41)</f>
        <v>13500</v>
      </c>
      <c r="G138" s="38"/>
      <c r="H138" s="38"/>
      <c r="I138" s="38"/>
    </row>
    <row r="139" spans="1:9" ht="18.75" customHeight="1" x14ac:dyDescent="0.25">
      <c r="A139" s="75" t="s">
        <v>48</v>
      </c>
      <c r="B139" s="69" t="s">
        <v>353</v>
      </c>
      <c r="C139" s="68" t="s">
        <v>132</v>
      </c>
      <c r="D139" s="32">
        <f t="shared" si="7"/>
        <v>9200</v>
      </c>
      <c r="E139" s="5"/>
      <c r="F139" s="5">
        <f>SUM('Valst.f. 4'!F42)</f>
        <v>9200</v>
      </c>
      <c r="G139" s="43"/>
      <c r="H139" s="43"/>
      <c r="I139" s="64"/>
    </row>
    <row r="140" spans="1:9" ht="18" customHeight="1" x14ac:dyDescent="0.25">
      <c r="A140" s="75" t="s">
        <v>49</v>
      </c>
      <c r="B140" s="69" t="s">
        <v>354</v>
      </c>
      <c r="C140" s="53" t="s">
        <v>132</v>
      </c>
      <c r="D140" s="32">
        <f t="shared" si="7"/>
        <v>12000</v>
      </c>
      <c r="E140" s="5"/>
      <c r="F140" s="5">
        <f>SUM('Valst.f. 4'!F43)</f>
        <v>12000</v>
      </c>
      <c r="G140" s="43"/>
      <c r="H140" s="43"/>
      <c r="I140" s="64"/>
    </row>
    <row r="141" spans="1:9" ht="17.25" customHeight="1" x14ac:dyDescent="0.25">
      <c r="A141" s="75" t="s">
        <v>50</v>
      </c>
      <c r="B141" s="69" t="s">
        <v>355</v>
      </c>
      <c r="C141" s="68" t="s">
        <v>132</v>
      </c>
      <c r="D141" s="43">
        <f t="shared" si="7"/>
        <v>12000</v>
      </c>
      <c r="E141" s="5"/>
      <c r="F141" s="5">
        <f>SUM('Valst.f. 4'!F44)</f>
        <v>12000</v>
      </c>
      <c r="G141" s="43"/>
      <c r="H141" s="43"/>
      <c r="I141" s="64"/>
    </row>
    <row r="142" spans="1:9" ht="17.25" customHeight="1" x14ac:dyDescent="0.25">
      <c r="A142" s="75" t="s">
        <v>51</v>
      </c>
      <c r="B142" s="5" t="s">
        <v>356</v>
      </c>
      <c r="C142" s="68" t="s">
        <v>132</v>
      </c>
      <c r="D142" s="5">
        <f t="shared" si="7"/>
        <v>16000</v>
      </c>
      <c r="E142" s="5"/>
      <c r="F142" s="5">
        <f>SUM('Valst.f. 4'!F45)</f>
        <v>16000</v>
      </c>
      <c r="G142" s="43"/>
      <c r="H142" s="43"/>
      <c r="I142" s="64"/>
    </row>
    <row r="143" spans="1:9" ht="17.25" customHeight="1" x14ac:dyDescent="0.25">
      <c r="A143" s="75" t="s">
        <v>52</v>
      </c>
      <c r="B143" s="5" t="s">
        <v>357</v>
      </c>
      <c r="C143" s="53" t="s">
        <v>132</v>
      </c>
      <c r="D143" s="43">
        <f t="shared" si="7"/>
        <v>13500</v>
      </c>
      <c r="E143" s="5"/>
      <c r="F143" s="5">
        <f>SUM('Valst.f. 4'!F46)</f>
        <v>13500</v>
      </c>
      <c r="G143" s="43"/>
      <c r="H143" s="43"/>
      <c r="I143" s="64"/>
    </row>
    <row r="144" spans="1:9" ht="17.25" customHeight="1" x14ac:dyDescent="0.25">
      <c r="A144" s="75" t="s">
        <v>53</v>
      </c>
      <c r="B144" s="5" t="s">
        <v>306</v>
      </c>
      <c r="C144" s="68" t="s">
        <v>132</v>
      </c>
      <c r="D144" s="32">
        <f t="shared" si="7"/>
        <v>24500</v>
      </c>
      <c r="E144" s="5"/>
      <c r="F144" s="5">
        <f>SUM('Valst.f. 4'!F47)</f>
        <v>24500</v>
      </c>
      <c r="G144" s="43"/>
      <c r="H144" s="43"/>
      <c r="I144" s="64"/>
    </row>
    <row r="145" spans="1:9" ht="32.25" customHeight="1" x14ac:dyDescent="0.25">
      <c r="A145" s="75" t="s">
        <v>54</v>
      </c>
      <c r="B145" s="50" t="s">
        <v>359</v>
      </c>
      <c r="C145" s="68" t="s">
        <v>132</v>
      </c>
      <c r="D145" s="32">
        <f t="shared" si="7"/>
        <v>33000</v>
      </c>
      <c r="E145" s="5"/>
      <c r="F145" s="5">
        <f>SUM('Valst.f. 4'!F48)</f>
        <v>33000</v>
      </c>
      <c r="G145" s="43"/>
      <c r="H145" s="43"/>
      <c r="I145" s="64"/>
    </row>
    <row r="146" spans="1:9" ht="33.75" customHeight="1" x14ac:dyDescent="0.25">
      <c r="A146" s="75" t="s">
        <v>55</v>
      </c>
      <c r="B146" s="50" t="s">
        <v>358</v>
      </c>
      <c r="C146" s="68" t="s">
        <v>132</v>
      </c>
      <c r="D146" s="32">
        <f>SUM(E146:I146)</f>
        <v>43800</v>
      </c>
      <c r="E146" s="5"/>
      <c r="F146" s="5">
        <f>SUM('Valst.f. 4'!F49)</f>
        <v>43800</v>
      </c>
      <c r="G146" s="43"/>
      <c r="H146" s="43"/>
      <c r="I146" s="64"/>
    </row>
    <row r="147" spans="1:9" ht="21" customHeight="1" x14ac:dyDescent="0.25">
      <c r="A147" s="304" t="s">
        <v>193</v>
      </c>
      <c r="B147" s="304"/>
      <c r="C147" s="304"/>
      <c r="D147" s="93">
        <f>SUM(E147:I147)</f>
        <v>2753445</v>
      </c>
      <c r="E147" s="93">
        <f>SUM(E124:E146)</f>
        <v>390612</v>
      </c>
      <c r="F147" s="93">
        <f>SUM(F124:F146)</f>
        <v>798026</v>
      </c>
      <c r="G147" s="93">
        <f>SUM(G124:G146)</f>
        <v>0</v>
      </c>
      <c r="H147" s="93">
        <f>SUM(H124:H146)</f>
        <v>1541109</v>
      </c>
      <c r="I147" s="45">
        <f>SUM(I124:I146)</f>
        <v>23698</v>
      </c>
    </row>
    <row r="148" spans="1:9" ht="24.75" customHeight="1" x14ac:dyDescent="0.25">
      <c r="A148" s="304" t="s">
        <v>217</v>
      </c>
      <c r="B148" s="304"/>
      <c r="C148" s="304"/>
      <c r="D148" s="121">
        <f>SUM(D21,D26,D30,D35,D38,D41,D44,D66,D69,D72,D76,D82,D91,D97,D122,D147)</f>
        <v>18518792</v>
      </c>
      <c r="E148" s="121">
        <f>SUM(E21,E26,E30,E35,E38,E44,E66,E72,E76,E82,E91,E97,E122,E147,E69)</f>
        <v>9203638</v>
      </c>
      <c r="F148" s="93">
        <f>SUM(F21+F26+F30+F35+F38+F41+F44+F66+F147,F91,F122,F82+F76)</f>
        <v>3609415</v>
      </c>
      <c r="G148" s="93">
        <f>SUM(,G122,G91)</f>
        <v>3993295</v>
      </c>
      <c r="H148" s="121">
        <f>SUM(H147)</f>
        <v>1541109</v>
      </c>
      <c r="I148" s="110">
        <f>SUM(I21,I66,I82,I91,I122,I147)</f>
        <v>171335</v>
      </c>
    </row>
  </sheetData>
  <mergeCells count="48">
    <mergeCell ref="D2:G2"/>
    <mergeCell ref="A14:I14"/>
    <mergeCell ref="A66:C66"/>
    <mergeCell ref="A69:C69"/>
    <mergeCell ref="A72:C72"/>
    <mergeCell ref="C9:C13"/>
    <mergeCell ref="E10:E13"/>
    <mergeCell ref="F10:G10"/>
    <mergeCell ref="B8:I8"/>
    <mergeCell ref="I10:I13"/>
    <mergeCell ref="B9:B13"/>
    <mergeCell ref="D9:D13"/>
    <mergeCell ref="E9:I9"/>
    <mergeCell ref="F11:F13"/>
    <mergeCell ref="G11:G13"/>
    <mergeCell ref="B6:I6"/>
    <mergeCell ref="B7:I7"/>
    <mergeCell ref="A30:C30"/>
    <mergeCell ref="A9:A13"/>
    <mergeCell ref="A123:I123"/>
    <mergeCell ref="A39:I39"/>
    <mergeCell ref="A38:C38"/>
    <mergeCell ref="A22:I22"/>
    <mergeCell ref="A98:I98"/>
    <mergeCell ref="H10:H13"/>
    <mergeCell ref="A45:I45"/>
    <mergeCell ref="A67:I67"/>
    <mergeCell ref="A31:I31"/>
    <mergeCell ref="A35:C35"/>
    <mergeCell ref="A36:I36"/>
    <mergeCell ref="A122:C122"/>
    <mergeCell ref="A73:I73"/>
    <mergeCell ref="A41:C41"/>
    <mergeCell ref="A42:I42"/>
    <mergeCell ref="A21:C21"/>
    <mergeCell ref="A26:C26"/>
    <mergeCell ref="A27:I27"/>
    <mergeCell ref="A44:C44"/>
    <mergeCell ref="A148:C148"/>
    <mergeCell ref="A82:C82"/>
    <mergeCell ref="A83:I83"/>
    <mergeCell ref="A91:C91"/>
    <mergeCell ref="A92:I92"/>
    <mergeCell ref="A147:C147"/>
    <mergeCell ref="A97:C97"/>
    <mergeCell ref="A76:C76"/>
    <mergeCell ref="A77:I77"/>
    <mergeCell ref="A70:I70"/>
  </mergeCells>
  <phoneticPr fontId="0" type="noConversion"/>
  <pageMargins left="0" right="0" top="0.39370078740157483" bottom="0" header="0.51181102362204722" footer="0.51181102362204722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J11" sqref="J11"/>
    </sheetView>
  </sheetViews>
  <sheetFormatPr defaultRowHeight="12.75" x14ac:dyDescent="0.2"/>
  <cols>
    <col min="1" max="1" width="6.5703125" customWidth="1"/>
    <col min="2" max="2" width="6.28515625" customWidth="1"/>
    <col min="3" max="3" width="7.28515625" customWidth="1"/>
    <col min="4" max="4" width="38" customWidth="1"/>
    <col min="5" max="5" width="10.7109375" customWidth="1"/>
    <col min="6" max="6" width="10.28515625" customWidth="1"/>
    <col min="7" max="7" width="7" customWidth="1"/>
    <col min="8" max="8" width="7.5703125" customWidth="1"/>
    <col min="9" max="9" width="11.140625" customWidth="1"/>
    <col min="12" max="12" width="10.85546875" customWidth="1"/>
    <col min="13" max="13" width="10.7109375" customWidth="1"/>
    <col min="257" max="257" width="6.5703125" customWidth="1"/>
    <col min="258" max="258" width="6.28515625" customWidth="1"/>
    <col min="259" max="259" width="7.28515625" customWidth="1"/>
    <col min="260" max="260" width="43" customWidth="1"/>
    <col min="262" max="262" width="8.42578125" customWidth="1"/>
    <col min="264" max="264" width="7.5703125" customWidth="1"/>
    <col min="513" max="513" width="6.5703125" customWidth="1"/>
    <col min="514" max="514" width="6.28515625" customWidth="1"/>
    <col min="515" max="515" width="7.28515625" customWidth="1"/>
    <col min="516" max="516" width="43" customWidth="1"/>
    <col min="518" max="518" width="8.42578125" customWidth="1"/>
    <col min="520" max="520" width="7.5703125" customWidth="1"/>
    <col min="769" max="769" width="6.5703125" customWidth="1"/>
    <col min="770" max="770" width="6.28515625" customWidth="1"/>
    <col min="771" max="771" width="7.28515625" customWidth="1"/>
    <col min="772" max="772" width="43" customWidth="1"/>
    <col min="774" max="774" width="8.42578125" customWidth="1"/>
    <col min="776" max="776" width="7.5703125" customWidth="1"/>
    <col min="1025" max="1025" width="6.5703125" customWidth="1"/>
    <col min="1026" max="1026" width="6.28515625" customWidth="1"/>
    <col min="1027" max="1027" width="7.28515625" customWidth="1"/>
    <col min="1028" max="1028" width="43" customWidth="1"/>
    <col min="1030" max="1030" width="8.42578125" customWidth="1"/>
    <col min="1032" max="1032" width="7.5703125" customWidth="1"/>
    <col min="1281" max="1281" width="6.5703125" customWidth="1"/>
    <col min="1282" max="1282" width="6.28515625" customWidth="1"/>
    <col min="1283" max="1283" width="7.28515625" customWidth="1"/>
    <col min="1284" max="1284" width="43" customWidth="1"/>
    <col min="1286" max="1286" width="8.42578125" customWidth="1"/>
    <col min="1288" max="1288" width="7.5703125" customWidth="1"/>
    <col min="1537" max="1537" width="6.5703125" customWidth="1"/>
    <col min="1538" max="1538" width="6.28515625" customWidth="1"/>
    <col min="1539" max="1539" width="7.28515625" customWidth="1"/>
    <col min="1540" max="1540" width="43" customWidth="1"/>
    <col min="1542" max="1542" width="8.42578125" customWidth="1"/>
    <col min="1544" max="1544" width="7.5703125" customWidth="1"/>
    <col min="1793" max="1793" width="6.5703125" customWidth="1"/>
    <col min="1794" max="1794" width="6.28515625" customWidth="1"/>
    <col min="1795" max="1795" width="7.28515625" customWidth="1"/>
    <col min="1796" max="1796" width="43" customWidth="1"/>
    <col min="1798" max="1798" width="8.42578125" customWidth="1"/>
    <col min="1800" max="1800" width="7.5703125" customWidth="1"/>
    <col min="2049" max="2049" width="6.5703125" customWidth="1"/>
    <col min="2050" max="2050" width="6.28515625" customWidth="1"/>
    <col min="2051" max="2051" width="7.28515625" customWidth="1"/>
    <col min="2052" max="2052" width="43" customWidth="1"/>
    <col min="2054" max="2054" width="8.42578125" customWidth="1"/>
    <col min="2056" max="2056" width="7.5703125" customWidth="1"/>
    <col min="2305" max="2305" width="6.5703125" customWidth="1"/>
    <col min="2306" max="2306" width="6.28515625" customWidth="1"/>
    <col min="2307" max="2307" width="7.28515625" customWidth="1"/>
    <col min="2308" max="2308" width="43" customWidth="1"/>
    <col min="2310" max="2310" width="8.42578125" customWidth="1"/>
    <col min="2312" max="2312" width="7.5703125" customWidth="1"/>
    <col min="2561" max="2561" width="6.5703125" customWidth="1"/>
    <col min="2562" max="2562" width="6.28515625" customWidth="1"/>
    <col min="2563" max="2563" width="7.28515625" customWidth="1"/>
    <col min="2564" max="2564" width="43" customWidth="1"/>
    <col min="2566" max="2566" width="8.42578125" customWidth="1"/>
    <col min="2568" max="2568" width="7.5703125" customWidth="1"/>
    <col min="2817" max="2817" width="6.5703125" customWidth="1"/>
    <col min="2818" max="2818" width="6.28515625" customWidth="1"/>
    <col min="2819" max="2819" width="7.28515625" customWidth="1"/>
    <col min="2820" max="2820" width="43" customWidth="1"/>
    <col min="2822" max="2822" width="8.42578125" customWidth="1"/>
    <col min="2824" max="2824" width="7.5703125" customWidth="1"/>
    <col min="3073" max="3073" width="6.5703125" customWidth="1"/>
    <col min="3074" max="3074" width="6.28515625" customWidth="1"/>
    <col min="3075" max="3075" width="7.28515625" customWidth="1"/>
    <col min="3076" max="3076" width="43" customWidth="1"/>
    <col min="3078" max="3078" width="8.42578125" customWidth="1"/>
    <col min="3080" max="3080" width="7.5703125" customWidth="1"/>
    <col min="3329" max="3329" width="6.5703125" customWidth="1"/>
    <col min="3330" max="3330" width="6.28515625" customWidth="1"/>
    <col min="3331" max="3331" width="7.28515625" customWidth="1"/>
    <col min="3332" max="3332" width="43" customWidth="1"/>
    <col min="3334" max="3334" width="8.42578125" customWidth="1"/>
    <col min="3336" max="3336" width="7.5703125" customWidth="1"/>
    <col min="3585" max="3585" width="6.5703125" customWidth="1"/>
    <col min="3586" max="3586" width="6.28515625" customWidth="1"/>
    <col min="3587" max="3587" width="7.28515625" customWidth="1"/>
    <col min="3588" max="3588" width="43" customWidth="1"/>
    <col min="3590" max="3590" width="8.42578125" customWidth="1"/>
    <col min="3592" max="3592" width="7.5703125" customWidth="1"/>
    <col min="3841" max="3841" width="6.5703125" customWidth="1"/>
    <col min="3842" max="3842" width="6.28515625" customWidth="1"/>
    <col min="3843" max="3843" width="7.28515625" customWidth="1"/>
    <col min="3844" max="3844" width="43" customWidth="1"/>
    <col min="3846" max="3846" width="8.42578125" customWidth="1"/>
    <col min="3848" max="3848" width="7.5703125" customWidth="1"/>
    <col min="4097" max="4097" width="6.5703125" customWidth="1"/>
    <col min="4098" max="4098" width="6.28515625" customWidth="1"/>
    <col min="4099" max="4099" width="7.28515625" customWidth="1"/>
    <col min="4100" max="4100" width="43" customWidth="1"/>
    <col min="4102" max="4102" width="8.42578125" customWidth="1"/>
    <col min="4104" max="4104" width="7.5703125" customWidth="1"/>
    <col min="4353" max="4353" width="6.5703125" customWidth="1"/>
    <col min="4354" max="4354" width="6.28515625" customWidth="1"/>
    <col min="4355" max="4355" width="7.28515625" customWidth="1"/>
    <col min="4356" max="4356" width="43" customWidth="1"/>
    <col min="4358" max="4358" width="8.42578125" customWidth="1"/>
    <col min="4360" max="4360" width="7.5703125" customWidth="1"/>
    <col min="4609" max="4609" width="6.5703125" customWidth="1"/>
    <col min="4610" max="4610" width="6.28515625" customWidth="1"/>
    <col min="4611" max="4611" width="7.28515625" customWidth="1"/>
    <col min="4612" max="4612" width="43" customWidth="1"/>
    <col min="4614" max="4614" width="8.42578125" customWidth="1"/>
    <col min="4616" max="4616" width="7.5703125" customWidth="1"/>
    <col min="4865" max="4865" width="6.5703125" customWidth="1"/>
    <col min="4866" max="4866" width="6.28515625" customWidth="1"/>
    <col min="4867" max="4867" width="7.28515625" customWidth="1"/>
    <col min="4868" max="4868" width="43" customWidth="1"/>
    <col min="4870" max="4870" width="8.42578125" customWidth="1"/>
    <col min="4872" max="4872" width="7.5703125" customWidth="1"/>
    <col min="5121" max="5121" width="6.5703125" customWidth="1"/>
    <col min="5122" max="5122" width="6.28515625" customWidth="1"/>
    <col min="5123" max="5123" width="7.28515625" customWidth="1"/>
    <col min="5124" max="5124" width="43" customWidth="1"/>
    <col min="5126" max="5126" width="8.42578125" customWidth="1"/>
    <col min="5128" max="5128" width="7.5703125" customWidth="1"/>
    <col min="5377" max="5377" width="6.5703125" customWidth="1"/>
    <col min="5378" max="5378" width="6.28515625" customWidth="1"/>
    <col min="5379" max="5379" width="7.28515625" customWidth="1"/>
    <col min="5380" max="5380" width="43" customWidth="1"/>
    <col min="5382" max="5382" width="8.42578125" customWidth="1"/>
    <col min="5384" max="5384" width="7.5703125" customWidth="1"/>
    <col min="5633" max="5633" width="6.5703125" customWidth="1"/>
    <col min="5634" max="5634" width="6.28515625" customWidth="1"/>
    <col min="5635" max="5635" width="7.28515625" customWidth="1"/>
    <col min="5636" max="5636" width="43" customWidth="1"/>
    <col min="5638" max="5638" width="8.42578125" customWidth="1"/>
    <col min="5640" max="5640" width="7.5703125" customWidth="1"/>
    <col min="5889" max="5889" width="6.5703125" customWidth="1"/>
    <col min="5890" max="5890" width="6.28515625" customWidth="1"/>
    <col min="5891" max="5891" width="7.28515625" customWidth="1"/>
    <col min="5892" max="5892" width="43" customWidth="1"/>
    <col min="5894" max="5894" width="8.42578125" customWidth="1"/>
    <col min="5896" max="5896" width="7.5703125" customWidth="1"/>
    <col min="6145" max="6145" width="6.5703125" customWidth="1"/>
    <col min="6146" max="6146" width="6.28515625" customWidth="1"/>
    <col min="6147" max="6147" width="7.28515625" customWidth="1"/>
    <col min="6148" max="6148" width="43" customWidth="1"/>
    <col min="6150" max="6150" width="8.42578125" customWidth="1"/>
    <col min="6152" max="6152" width="7.5703125" customWidth="1"/>
    <col min="6401" max="6401" width="6.5703125" customWidth="1"/>
    <col min="6402" max="6402" width="6.28515625" customWidth="1"/>
    <col min="6403" max="6403" width="7.28515625" customWidth="1"/>
    <col min="6404" max="6404" width="43" customWidth="1"/>
    <col min="6406" max="6406" width="8.42578125" customWidth="1"/>
    <col min="6408" max="6408" width="7.5703125" customWidth="1"/>
    <col min="6657" max="6657" width="6.5703125" customWidth="1"/>
    <col min="6658" max="6658" width="6.28515625" customWidth="1"/>
    <col min="6659" max="6659" width="7.28515625" customWidth="1"/>
    <col min="6660" max="6660" width="43" customWidth="1"/>
    <col min="6662" max="6662" width="8.42578125" customWidth="1"/>
    <col min="6664" max="6664" width="7.5703125" customWidth="1"/>
    <col min="6913" max="6913" width="6.5703125" customWidth="1"/>
    <col min="6914" max="6914" width="6.28515625" customWidth="1"/>
    <col min="6915" max="6915" width="7.28515625" customWidth="1"/>
    <col min="6916" max="6916" width="43" customWidth="1"/>
    <col min="6918" max="6918" width="8.42578125" customWidth="1"/>
    <col min="6920" max="6920" width="7.5703125" customWidth="1"/>
    <col min="7169" max="7169" width="6.5703125" customWidth="1"/>
    <col min="7170" max="7170" width="6.28515625" customWidth="1"/>
    <col min="7171" max="7171" width="7.28515625" customWidth="1"/>
    <col min="7172" max="7172" width="43" customWidth="1"/>
    <col min="7174" max="7174" width="8.42578125" customWidth="1"/>
    <col min="7176" max="7176" width="7.5703125" customWidth="1"/>
    <col min="7425" max="7425" width="6.5703125" customWidth="1"/>
    <col min="7426" max="7426" width="6.28515625" customWidth="1"/>
    <col min="7427" max="7427" width="7.28515625" customWidth="1"/>
    <col min="7428" max="7428" width="43" customWidth="1"/>
    <col min="7430" max="7430" width="8.42578125" customWidth="1"/>
    <col min="7432" max="7432" width="7.5703125" customWidth="1"/>
    <col min="7681" max="7681" width="6.5703125" customWidth="1"/>
    <col min="7682" max="7682" width="6.28515625" customWidth="1"/>
    <col min="7683" max="7683" width="7.28515625" customWidth="1"/>
    <col min="7684" max="7684" width="43" customWidth="1"/>
    <col min="7686" max="7686" width="8.42578125" customWidth="1"/>
    <col min="7688" max="7688" width="7.5703125" customWidth="1"/>
    <col min="7937" max="7937" width="6.5703125" customWidth="1"/>
    <col min="7938" max="7938" width="6.28515625" customWidth="1"/>
    <col min="7939" max="7939" width="7.28515625" customWidth="1"/>
    <col min="7940" max="7940" width="43" customWidth="1"/>
    <col min="7942" max="7942" width="8.42578125" customWidth="1"/>
    <col min="7944" max="7944" width="7.5703125" customWidth="1"/>
    <col min="8193" max="8193" width="6.5703125" customWidth="1"/>
    <col min="8194" max="8194" width="6.28515625" customWidth="1"/>
    <col min="8195" max="8195" width="7.28515625" customWidth="1"/>
    <col min="8196" max="8196" width="43" customWidth="1"/>
    <col min="8198" max="8198" width="8.42578125" customWidth="1"/>
    <col min="8200" max="8200" width="7.5703125" customWidth="1"/>
    <col min="8449" max="8449" width="6.5703125" customWidth="1"/>
    <col min="8450" max="8450" width="6.28515625" customWidth="1"/>
    <col min="8451" max="8451" width="7.28515625" customWidth="1"/>
    <col min="8452" max="8452" width="43" customWidth="1"/>
    <col min="8454" max="8454" width="8.42578125" customWidth="1"/>
    <col min="8456" max="8456" width="7.5703125" customWidth="1"/>
    <col min="8705" max="8705" width="6.5703125" customWidth="1"/>
    <col min="8706" max="8706" width="6.28515625" customWidth="1"/>
    <col min="8707" max="8707" width="7.28515625" customWidth="1"/>
    <col min="8708" max="8708" width="43" customWidth="1"/>
    <col min="8710" max="8710" width="8.42578125" customWidth="1"/>
    <col min="8712" max="8712" width="7.5703125" customWidth="1"/>
    <col min="8961" max="8961" width="6.5703125" customWidth="1"/>
    <col min="8962" max="8962" width="6.28515625" customWidth="1"/>
    <col min="8963" max="8963" width="7.28515625" customWidth="1"/>
    <col min="8964" max="8964" width="43" customWidth="1"/>
    <col min="8966" max="8966" width="8.42578125" customWidth="1"/>
    <col min="8968" max="8968" width="7.5703125" customWidth="1"/>
    <col min="9217" max="9217" width="6.5703125" customWidth="1"/>
    <col min="9218" max="9218" width="6.28515625" customWidth="1"/>
    <col min="9219" max="9219" width="7.28515625" customWidth="1"/>
    <col min="9220" max="9220" width="43" customWidth="1"/>
    <col min="9222" max="9222" width="8.42578125" customWidth="1"/>
    <col min="9224" max="9224" width="7.5703125" customWidth="1"/>
    <col min="9473" max="9473" width="6.5703125" customWidth="1"/>
    <col min="9474" max="9474" width="6.28515625" customWidth="1"/>
    <col min="9475" max="9475" width="7.28515625" customWidth="1"/>
    <col min="9476" max="9476" width="43" customWidth="1"/>
    <col min="9478" max="9478" width="8.42578125" customWidth="1"/>
    <col min="9480" max="9480" width="7.5703125" customWidth="1"/>
    <col min="9729" max="9729" width="6.5703125" customWidth="1"/>
    <col min="9730" max="9730" width="6.28515625" customWidth="1"/>
    <col min="9731" max="9731" width="7.28515625" customWidth="1"/>
    <col min="9732" max="9732" width="43" customWidth="1"/>
    <col min="9734" max="9734" width="8.42578125" customWidth="1"/>
    <col min="9736" max="9736" width="7.5703125" customWidth="1"/>
    <col min="9985" max="9985" width="6.5703125" customWidth="1"/>
    <col min="9986" max="9986" width="6.28515625" customWidth="1"/>
    <col min="9987" max="9987" width="7.28515625" customWidth="1"/>
    <col min="9988" max="9988" width="43" customWidth="1"/>
    <col min="9990" max="9990" width="8.42578125" customWidth="1"/>
    <col min="9992" max="9992" width="7.5703125" customWidth="1"/>
    <col min="10241" max="10241" width="6.5703125" customWidth="1"/>
    <col min="10242" max="10242" width="6.28515625" customWidth="1"/>
    <col min="10243" max="10243" width="7.28515625" customWidth="1"/>
    <col min="10244" max="10244" width="43" customWidth="1"/>
    <col min="10246" max="10246" width="8.42578125" customWidth="1"/>
    <col min="10248" max="10248" width="7.5703125" customWidth="1"/>
    <col min="10497" max="10497" width="6.5703125" customWidth="1"/>
    <col min="10498" max="10498" width="6.28515625" customWidth="1"/>
    <col min="10499" max="10499" width="7.28515625" customWidth="1"/>
    <col min="10500" max="10500" width="43" customWidth="1"/>
    <col min="10502" max="10502" width="8.42578125" customWidth="1"/>
    <col min="10504" max="10504" width="7.5703125" customWidth="1"/>
    <col min="10753" max="10753" width="6.5703125" customWidth="1"/>
    <col min="10754" max="10754" width="6.28515625" customWidth="1"/>
    <col min="10755" max="10755" width="7.28515625" customWidth="1"/>
    <col min="10756" max="10756" width="43" customWidth="1"/>
    <col min="10758" max="10758" width="8.42578125" customWidth="1"/>
    <col min="10760" max="10760" width="7.5703125" customWidth="1"/>
    <col min="11009" max="11009" width="6.5703125" customWidth="1"/>
    <col min="11010" max="11010" width="6.28515625" customWidth="1"/>
    <col min="11011" max="11011" width="7.28515625" customWidth="1"/>
    <col min="11012" max="11012" width="43" customWidth="1"/>
    <col min="11014" max="11014" width="8.42578125" customWidth="1"/>
    <col min="11016" max="11016" width="7.5703125" customWidth="1"/>
    <col min="11265" max="11265" width="6.5703125" customWidth="1"/>
    <col min="11266" max="11266" width="6.28515625" customWidth="1"/>
    <col min="11267" max="11267" width="7.28515625" customWidth="1"/>
    <col min="11268" max="11268" width="43" customWidth="1"/>
    <col min="11270" max="11270" width="8.42578125" customWidth="1"/>
    <col min="11272" max="11272" width="7.5703125" customWidth="1"/>
    <col min="11521" max="11521" width="6.5703125" customWidth="1"/>
    <col min="11522" max="11522" width="6.28515625" customWidth="1"/>
    <col min="11523" max="11523" width="7.28515625" customWidth="1"/>
    <col min="11524" max="11524" width="43" customWidth="1"/>
    <col min="11526" max="11526" width="8.42578125" customWidth="1"/>
    <col min="11528" max="11528" width="7.5703125" customWidth="1"/>
    <col min="11777" max="11777" width="6.5703125" customWidth="1"/>
    <col min="11778" max="11778" width="6.28515625" customWidth="1"/>
    <col min="11779" max="11779" width="7.28515625" customWidth="1"/>
    <col min="11780" max="11780" width="43" customWidth="1"/>
    <col min="11782" max="11782" width="8.42578125" customWidth="1"/>
    <col min="11784" max="11784" width="7.5703125" customWidth="1"/>
    <col min="12033" max="12033" width="6.5703125" customWidth="1"/>
    <col min="12034" max="12034" width="6.28515625" customWidth="1"/>
    <col min="12035" max="12035" width="7.28515625" customWidth="1"/>
    <col min="12036" max="12036" width="43" customWidth="1"/>
    <col min="12038" max="12038" width="8.42578125" customWidth="1"/>
    <col min="12040" max="12040" width="7.5703125" customWidth="1"/>
    <col min="12289" max="12289" width="6.5703125" customWidth="1"/>
    <col min="12290" max="12290" width="6.28515625" customWidth="1"/>
    <col min="12291" max="12291" width="7.28515625" customWidth="1"/>
    <col min="12292" max="12292" width="43" customWidth="1"/>
    <col min="12294" max="12294" width="8.42578125" customWidth="1"/>
    <col min="12296" max="12296" width="7.5703125" customWidth="1"/>
    <col min="12545" max="12545" width="6.5703125" customWidth="1"/>
    <col min="12546" max="12546" width="6.28515625" customWidth="1"/>
    <col min="12547" max="12547" width="7.28515625" customWidth="1"/>
    <col min="12548" max="12548" width="43" customWidth="1"/>
    <col min="12550" max="12550" width="8.42578125" customWidth="1"/>
    <col min="12552" max="12552" width="7.5703125" customWidth="1"/>
    <col min="12801" max="12801" width="6.5703125" customWidth="1"/>
    <col min="12802" max="12802" width="6.28515625" customWidth="1"/>
    <col min="12803" max="12803" width="7.28515625" customWidth="1"/>
    <col min="12804" max="12804" width="43" customWidth="1"/>
    <col min="12806" max="12806" width="8.42578125" customWidth="1"/>
    <col min="12808" max="12808" width="7.5703125" customWidth="1"/>
    <col min="13057" max="13057" width="6.5703125" customWidth="1"/>
    <col min="13058" max="13058" width="6.28515625" customWidth="1"/>
    <col min="13059" max="13059" width="7.28515625" customWidth="1"/>
    <col min="13060" max="13060" width="43" customWidth="1"/>
    <col min="13062" max="13062" width="8.42578125" customWidth="1"/>
    <col min="13064" max="13064" width="7.5703125" customWidth="1"/>
    <col min="13313" max="13313" width="6.5703125" customWidth="1"/>
    <col min="13314" max="13314" width="6.28515625" customWidth="1"/>
    <col min="13315" max="13315" width="7.28515625" customWidth="1"/>
    <col min="13316" max="13316" width="43" customWidth="1"/>
    <col min="13318" max="13318" width="8.42578125" customWidth="1"/>
    <col min="13320" max="13320" width="7.5703125" customWidth="1"/>
    <col min="13569" max="13569" width="6.5703125" customWidth="1"/>
    <col min="13570" max="13570" width="6.28515625" customWidth="1"/>
    <col min="13571" max="13571" width="7.28515625" customWidth="1"/>
    <col min="13572" max="13572" width="43" customWidth="1"/>
    <col min="13574" max="13574" width="8.42578125" customWidth="1"/>
    <col min="13576" max="13576" width="7.5703125" customWidth="1"/>
    <col min="13825" max="13825" width="6.5703125" customWidth="1"/>
    <col min="13826" max="13826" width="6.28515625" customWidth="1"/>
    <col min="13827" max="13827" width="7.28515625" customWidth="1"/>
    <col min="13828" max="13828" width="43" customWidth="1"/>
    <col min="13830" max="13830" width="8.42578125" customWidth="1"/>
    <col min="13832" max="13832" width="7.5703125" customWidth="1"/>
    <col min="14081" max="14081" width="6.5703125" customWidth="1"/>
    <col min="14082" max="14082" width="6.28515625" customWidth="1"/>
    <col min="14083" max="14083" width="7.28515625" customWidth="1"/>
    <col min="14084" max="14084" width="43" customWidth="1"/>
    <col min="14086" max="14086" width="8.42578125" customWidth="1"/>
    <col min="14088" max="14088" width="7.5703125" customWidth="1"/>
    <col min="14337" max="14337" width="6.5703125" customWidth="1"/>
    <col min="14338" max="14338" width="6.28515625" customWidth="1"/>
    <col min="14339" max="14339" width="7.28515625" customWidth="1"/>
    <col min="14340" max="14340" width="43" customWidth="1"/>
    <col min="14342" max="14342" width="8.42578125" customWidth="1"/>
    <col min="14344" max="14344" width="7.5703125" customWidth="1"/>
    <col min="14593" max="14593" width="6.5703125" customWidth="1"/>
    <col min="14594" max="14594" width="6.28515625" customWidth="1"/>
    <col min="14595" max="14595" width="7.28515625" customWidth="1"/>
    <col min="14596" max="14596" width="43" customWidth="1"/>
    <col min="14598" max="14598" width="8.42578125" customWidth="1"/>
    <col min="14600" max="14600" width="7.5703125" customWidth="1"/>
    <col min="14849" max="14849" width="6.5703125" customWidth="1"/>
    <col min="14850" max="14850" width="6.28515625" customWidth="1"/>
    <col min="14851" max="14851" width="7.28515625" customWidth="1"/>
    <col min="14852" max="14852" width="43" customWidth="1"/>
    <col min="14854" max="14854" width="8.42578125" customWidth="1"/>
    <col min="14856" max="14856" width="7.5703125" customWidth="1"/>
    <col min="15105" max="15105" width="6.5703125" customWidth="1"/>
    <col min="15106" max="15106" width="6.28515625" customWidth="1"/>
    <col min="15107" max="15107" width="7.28515625" customWidth="1"/>
    <col min="15108" max="15108" width="43" customWidth="1"/>
    <col min="15110" max="15110" width="8.42578125" customWidth="1"/>
    <col min="15112" max="15112" width="7.5703125" customWidth="1"/>
    <col min="15361" max="15361" width="6.5703125" customWidth="1"/>
    <col min="15362" max="15362" width="6.28515625" customWidth="1"/>
    <col min="15363" max="15363" width="7.28515625" customWidth="1"/>
    <col min="15364" max="15364" width="43" customWidth="1"/>
    <col min="15366" max="15366" width="8.42578125" customWidth="1"/>
    <col min="15368" max="15368" width="7.5703125" customWidth="1"/>
    <col min="15617" max="15617" width="6.5703125" customWidth="1"/>
    <col min="15618" max="15618" width="6.28515625" customWidth="1"/>
    <col min="15619" max="15619" width="7.28515625" customWidth="1"/>
    <col min="15620" max="15620" width="43" customWidth="1"/>
    <col min="15622" max="15622" width="8.42578125" customWidth="1"/>
    <col min="15624" max="15624" width="7.5703125" customWidth="1"/>
    <col min="15873" max="15873" width="6.5703125" customWidth="1"/>
    <col min="15874" max="15874" width="6.28515625" customWidth="1"/>
    <col min="15875" max="15875" width="7.28515625" customWidth="1"/>
    <col min="15876" max="15876" width="43" customWidth="1"/>
    <col min="15878" max="15878" width="8.42578125" customWidth="1"/>
    <col min="15880" max="15880" width="7.5703125" customWidth="1"/>
    <col min="16129" max="16129" width="6.5703125" customWidth="1"/>
    <col min="16130" max="16130" width="6.28515625" customWidth="1"/>
    <col min="16131" max="16131" width="7.28515625" customWidth="1"/>
    <col min="16132" max="16132" width="43" customWidth="1"/>
    <col min="16134" max="16134" width="8.42578125" customWidth="1"/>
    <col min="16136" max="16136" width="7.5703125" customWidth="1"/>
  </cols>
  <sheetData>
    <row r="1" spans="1:11" ht="18.75" customHeight="1" x14ac:dyDescent="0.25">
      <c r="D1" s="256" t="s">
        <v>444</v>
      </c>
      <c r="E1" s="256"/>
      <c r="F1" s="256"/>
      <c r="G1" s="256"/>
      <c r="H1" s="256"/>
    </row>
    <row r="2" spans="1:11" ht="17.25" customHeight="1" x14ac:dyDescent="0.25">
      <c r="D2" s="256" t="s">
        <v>445</v>
      </c>
      <c r="E2" s="256"/>
      <c r="F2" s="256"/>
      <c r="G2" s="256"/>
      <c r="H2" s="256"/>
      <c r="I2" s="256"/>
    </row>
    <row r="3" spans="1:11" ht="16.5" customHeight="1" x14ac:dyDescent="0.25">
      <c r="D3" s="256" t="s">
        <v>446</v>
      </c>
      <c r="E3" s="256"/>
      <c r="F3" s="256"/>
      <c r="G3" s="256"/>
      <c r="H3" s="16"/>
    </row>
    <row r="5" spans="1:11" ht="19.5" customHeight="1" x14ac:dyDescent="0.25">
      <c r="A5" s="213" t="s">
        <v>439</v>
      </c>
      <c r="B5" s="213"/>
      <c r="C5" s="213"/>
      <c r="D5" s="213"/>
      <c r="E5" s="213"/>
      <c r="F5" s="213"/>
      <c r="G5" s="213"/>
      <c r="H5" s="213"/>
    </row>
    <row r="6" spans="1:11" ht="15.75" x14ac:dyDescent="0.25">
      <c r="A6" s="213" t="s">
        <v>438</v>
      </c>
      <c r="B6" s="213"/>
      <c r="C6" s="213"/>
      <c r="D6" s="213"/>
      <c r="E6" s="213"/>
      <c r="F6" s="213"/>
      <c r="G6" s="213"/>
      <c r="H6" s="16"/>
    </row>
    <row r="7" spans="1:11" ht="15.75" x14ac:dyDescent="0.25">
      <c r="A7" s="16"/>
      <c r="B7" s="16"/>
      <c r="C7" s="16"/>
      <c r="D7" s="16"/>
      <c r="E7" s="16"/>
      <c r="F7" s="16"/>
      <c r="G7" s="16" t="s">
        <v>402</v>
      </c>
      <c r="H7" s="16"/>
    </row>
    <row r="8" spans="1:11" ht="15.75" customHeight="1" x14ac:dyDescent="0.2">
      <c r="A8" s="238" t="s">
        <v>56</v>
      </c>
      <c r="B8" s="238" t="s">
        <v>145</v>
      </c>
      <c r="C8" s="238" t="s">
        <v>146</v>
      </c>
      <c r="D8" s="263" t="s">
        <v>392</v>
      </c>
      <c r="E8" s="238" t="s">
        <v>329</v>
      </c>
      <c r="F8" s="263" t="s">
        <v>144</v>
      </c>
      <c r="G8" s="263"/>
      <c r="H8" s="263"/>
    </row>
    <row r="9" spans="1:11" ht="15.75" x14ac:dyDescent="0.2">
      <c r="A9" s="239"/>
      <c r="B9" s="239"/>
      <c r="C9" s="239"/>
      <c r="D9" s="263"/>
      <c r="E9" s="239"/>
      <c r="F9" s="263" t="s">
        <v>104</v>
      </c>
      <c r="G9" s="263"/>
      <c r="H9" s="238" t="s">
        <v>393</v>
      </c>
      <c r="K9" s="150"/>
    </row>
    <row r="10" spans="1:11" ht="12.75" customHeight="1" x14ac:dyDescent="0.2">
      <c r="A10" s="239"/>
      <c r="B10" s="239"/>
      <c r="C10" s="239"/>
      <c r="D10" s="263"/>
      <c r="E10" s="239"/>
      <c r="F10" s="263" t="s">
        <v>4</v>
      </c>
      <c r="G10" s="263" t="s">
        <v>105</v>
      </c>
      <c r="H10" s="239"/>
    </row>
    <row r="11" spans="1:11" ht="64.900000000000006" customHeight="1" x14ac:dyDescent="0.2">
      <c r="A11" s="240"/>
      <c r="B11" s="240"/>
      <c r="C11" s="240"/>
      <c r="D11" s="263"/>
      <c r="E11" s="240"/>
      <c r="F11" s="263"/>
      <c r="G11" s="263"/>
      <c r="H11" s="240"/>
    </row>
    <row r="12" spans="1:11" ht="23.25" customHeight="1" x14ac:dyDescent="0.2">
      <c r="A12" s="148" t="s">
        <v>33</v>
      </c>
      <c r="B12" s="313" t="s">
        <v>8</v>
      </c>
      <c r="C12" s="313"/>
      <c r="D12" s="313"/>
      <c r="E12" s="151">
        <f>SUM(E13:E20)</f>
        <v>172659</v>
      </c>
      <c r="F12" s="151">
        <f>SUM(F13:F20)</f>
        <v>172659</v>
      </c>
      <c r="G12" s="151">
        <f>SUM(G13:G20,G22:G22)</f>
        <v>0</v>
      </c>
      <c r="H12" s="151">
        <f>SUM(H13:H20,H22:H22)</f>
        <v>0</v>
      </c>
      <c r="J12" s="152"/>
    </row>
    <row r="13" spans="1:11" ht="18" customHeight="1" x14ac:dyDescent="0.25">
      <c r="A13" s="4" t="s">
        <v>420</v>
      </c>
      <c r="B13" s="19" t="s">
        <v>121</v>
      </c>
      <c r="C13" s="19" t="s">
        <v>121</v>
      </c>
      <c r="D13" s="4" t="s">
        <v>219</v>
      </c>
      <c r="E13" s="4">
        <f>SUM(F13+H13)</f>
        <v>37299</v>
      </c>
      <c r="F13" s="4">
        <v>37299</v>
      </c>
      <c r="G13" s="4"/>
      <c r="H13" s="4"/>
    </row>
    <row r="14" spans="1:11" ht="18" customHeight="1" x14ac:dyDescent="0.25">
      <c r="A14" s="4" t="s">
        <v>58</v>
      </c>
      <c r="B14" s="19" t="s">
        <v>121</v>
      </c>
      <c r="C14" s="19" t="s">
        <v>121</v>
      </c>
      <c r="D14" s="4" t="s">
        <v>24</v>
      </c>
      <c r="E14" s="40">
        <f t="shared" ref="E14:E15" si="0">SUM(F14+H14)</f>
        <v>23781</v>
      </c>
      <c r="F14" s="40">
        <v>23781</v>
      </c>
      <c r="G14" s="4"/>
      <c r="H14" s="4"/>
    </row>
    <row r="15" spans="1:11" ht="18" customHeight="1" x14ac:dyDescent="0.25">
      <c r="A15" s="4" t="s">
        <v>60</v>
      </c>
      <c r="B15" s="75" t="s">
        <v>153</v>
      </c>
      <c r="C15" s="75" t="s">
        <v>156</v>
      </c>
      <c r="D15" s="4" t="s">
        <v>298</v>
      </c>
      <c r="E15" s="4">
        <f t="shared" si="0"/>
        <v>10513</v>
      </c>
      <c r="F15" s="4">
        <v>10513</v>
      </c>
      <c r="G15" s="4"/>
      <c r="H15" s="4"/>
    </row>
    <row r="16" spans="1:11" ht="18" customHeight="1" x14ac:dyDescent="0.25">
      <c r="A16" s="4" t="s">
        <v>83</v>
      </c>
      <c r="B16" s="19" t="s">
        <v>156</v>
      </c>
      <c r="C16" s="19" t="s">
        <v>156</v>
      </c>
      <c r="D16" s="4" t="s">
        <v>23</v>
      </c>
      <c r="E16" s="4">
        <f>SUM(F16+H16)</f>
        <v>18369</v>
      </c>
      <c r="F16" s="4">
        <v>18369</v>
      </c>
      <c r="G16" s="4"/>
      <c r="H16" s="4"/>
    </row>
    <row r="17" spans="1:13" ht="18" customHeight="1" x14ac:dyDescent="0.25">
      <c r="A17" s="4" t="s">
        <v>84</v>
      </c>
      <c r="B17" s="19" t="s">
        <v>157</v>
      </c>
      <c r="C17" s="19" t="s">
        <v>160</v>
      </c>
      <c r="D17" s="4" t="s">
        <v>109</v>
      </c>
      <c r="E17" s="4">
        <f>SUM(F17+H17)</f>
        <v>4594</v>
      </c>
      <c r="F17" s="4">
        <v>4594</v>
      </c>
      <c r="G17" s="4"/>
      <c r="H17" s="4"/>
    </row>
    <row r="18" spans="1:13" ht="18" customHeight="1" x14ac:dyDescent="0.25">
      <c r="A18" s="4" t="s">
        <v>85</v>
      </c>
      <c r="B18" s="19" t="s">
        <v>157</v>
      </c>
      <c r="C18" s="19" t="s">
        <v>160</v>
      </c>
      <c r="D18" s="4" t="s">
        <v>419</v>
      </c>
      <c r="E18" s="4">
        <f>SUM(F18+H18)</f>
        <v>49933</v>
      </c>
      <c r="F18" s="4">
        <v>49933</v>
      </c>
      <c r="G18" s="4"/>
      <c r="H18" s="4"/>
    </row>
    <row r="19" spans="1:13" ht="18" customHeight="1" x14ac:dyDescent="0.25">
      <c r="A19" s="4" t="s">
        <v>86</v>
      </c>
      <c r="B19" s="19" t="s">
        <v>157</v>
      </c>
      <c r="C19" s="19" t="s">
        <v>158</v>
      </c>
      <c r="D19" s="186" t="s">
        <v>149</v>
      </c>
      <c r="E19" s="4">
        <f t="shared" ref="E19:E22" si="1">SUM(F19+H19)</f>
        <v>7822</v>
      </c>
      <c r="F19" s="4">
        <v>7822</v>
      </c>
      <c r="G19" s="4"/>
      <c r="H19" s="4"/>
    </row>
    <row r="20" spans="1:13" ht="18" customHeight="1" x14ac:dyDescent="0.25">
      <c r="A20" s="4" t="s">
        <v>87</v>
      </c>
      <c r="B20" s="19" t="s">
        <v>47</v>
      </c>
      <c r="C20" s="19" t="s">
        <v>154</v>
      </c>
      <c r="D20" s="4" t="s">
        <v>213</v>
      </c>
      <c r="E20" s="4">
        <f t="shared" si="1"/>
        <v>20348</v>
      </c>
      <c r="F20" s="4">
        <v>20348</v>
      </c>
      <c r="G20" s="4"/>
      <c r="H20" s="4"/>
    </row>
    <row r="21" spans="1:13" ht="19.5" customHeight="1" x14ac:dyDescent="0.25">
      <c r="A21" s="4" t="s">
        <v>34</v>
      </c>
      <c r="B21" s="216" t="s">
        <v>353</v>
      </c>
      <c r="C21" s="217"/>
      <c r="D21" s="217"/>
      <c r="E21" s="217"/>
      <c r="F21" s="217"/>
      <c r="G21" s="217"/>
      <c r="H21" s="218"/>
      <c r="L21" s="188"/>
      <c r="M21" s="188"/>
    </row>
    <row r="22" spans="1:13" ht="16.5" customHeight="1" x14ac:dyDescent="0.25">
      <c r="A22" s="4" t="s">
        <v>59</v>
      </c>
      <c r="B22" s="187" t="s">
        <v>47</v>
      </c>
      <c r="C22" s="187" t="s">
        <v>154</v>
      </c>
      <c r="D22" s="5" t="s">
        <v>399</v>
      </c>
      <c r="E22" s="4">
        <f t="shared" si="1"/>
        <v>6216</v>
      </c>
      <c r="F22" s="4">
        <v>6216</v>
      </c>
      <c r="G22" s="4"/>
      <c r="H22" s="4"/>
    </row>
    <row r="23" spans="1:13" ht="18" customHeight="1" x14ac:dyDescent="0.25">
      <c r="A23" s="4" t="s">
        <v>35</v>
      </c>
      <c r="B23" s="216" t="s">
        <v>355</v>
      </c>
      <c r="C23" s="217"/>
      <c r="D23" s="217"/>
      <c r="E23" s="217"/>
      <c r="F23" s="217"/>
      <c r="G23" s="217"/>
      <c r="H23" s="218"/>
    </row>
    <row r="24" spans="1:13" ht="15.75" customHeight="1" x14ac:dyDescent="0.25">
      <c r="A24" s="4" t="s">
        <v>64</v>
      </c>
      <c r="B24" s="187" t="s">
        <v>47</v>
      </c>
      <c r="C24" s="187" t="s">
        <v>154</v>
      </c>
      <c r="D24" s="5" t="s">
        <v>399</v>
      </c>
      <c r="E24" s="4">
        <f t="shared" ref="E24" si="2">SUM(F24+H24)</f>
        <v>1022</v>
      </c>
      <c r="F24" s="4">
        <v>1022</v>
      </c>
      <c r="G24" s="4"/>
      <c r="H24" s="4"/>
    </row>
    <row r="25" spans="1:13" ht="18" customHeight="1" x14ac:dyDescent="0.25">
      <c r="A25" s="4" t="s">
        <v>36</v>
      </c>
      <c r="B25" s="216" t="s">
        <v>421</v>
      </c>
      <c r="C25" s="217"/>
      <c r="D25" s="217"/>
      <c r="E25" s="217"/>
      <c r="F25" s="217"/>
      <c r="G25" s="217"/>
      <c r="H25" s="218"/>
    </row>
    <row r="26" spans="1:13" ht="16.5" customHeight="1" x14ac:dyDescent="0.25">
      <c r="A26" s="4" t="s">
        <v>422</v>
      </c>
      <c r="B26" s="187" t="s">
        <v>47</v>
      </c>
      <c r="C26" s="187" t="s">
        <v>154</v>
      </c>
      <c r="D26" s="5" t="s">
        <v>399</v>
      </c>
      <c r="E26" s="4">
        <f t="shared" ref="E26" si="3">SUM(F26+H26)</f>
        <v>3348</v>
      </c>
      <c r="F26" s="4">
        <v>3348</v>
      </c>
      <c r="G26" s="4"/>
      <c r="H26" s="4"/>
    </row>
    <row r="27" spans="1:13" ht="18" customHeight="1" x14ac:dyDescent="0.25">
      <c r="A27" s="4" t="s">
        <v>37</v>
      </c>
      <c r="B27" s="216" t="s">
        <v>359</v>
      </c>
      <c r="C27" s="217"/>
      <c r="D27" s="217"/>
      <c r="E27" s="217"/>
      <c r="F27" s="217"/>
      <c r="G27" s="217"/>
      <c r="H27" s="218"/>
    </row>
    <row r="28" spans="1:13" ht="15.75" customHeight="1" x14ac:dyDescent="0.25">
      <c r="A28" s="5" t="s">
        <v>423</v>
      </c>
      <c r="B28" s="187" t="s">
        <v>47</v>
      </c>
      <c r="C28" s="187" t="s">
        <v>154</v>
      </c>
      <c r="D28" s="5" t="s">
        <v>399</v>
      </c>
      <c r="E28" s="4">
        <f t="shared" ref="E28" si="4">SUM(F28+H28)</f>
        <v>5281</v>
      </c>
      <c r="F28" s="4">
        <v>5281</v>
      </c>
      <c r="G28" s="4"/>
      <c r="H28" s="4"/>
    </row>
    <row r="29" spans="1:13" ht="18" customHeight="1" x14ac:dyDescent="0.25">
      <c r="A29" s="4" t="s">
        <v>38</v>
      </c>
      <c r="B29" s="216" t="s">
        <v>306</v>
      </c>
      <c r="C29" s="217"/>
      <c r="D29" s="217"/>
      <c r="E29" s="217"/>
      <c r="F29" s="217"/>
      <c r="G29" s="217"/>
      <c r="H29" s="218"/>
    </row>
    <row r="30" spans="1:13" ht="15.75" customHeight="1" x14ac:dyDescent="0.25">
      <c r="A30" s="5" t="s">
        <v>424</v>
      </c>
      <c r="B30" s="187" t="s">
        <v>47</v>
      </c>
      <c r="C30" s="187" t="s">
        <v>154</v>
      </c>
      <c r="D30" s="5" t="s">
        <v>399</v>
      </c>
      <c r="E30" s="4">
        <f t="shared" ref="E30" si="5">SUM(F30+H30)</f>
        <v>5419</v>
      </c>
      <c r="F30" s="4">
        <v>5419</v>
      </c>
      <c r="G30" s="4"/>
      <c r="H30" s="4"/>
    </row>
    <row r="31" spans="1:13" ht="27.75" customHeight="1" x14ac:dyDescent="0.25">
      <c r="A31" s="153"/>
      <c r="B31" s="153"/>
      <c r="C31" s="153"/>
      <c r="D31" s="154" t="s">
        <v>394</v>
      </c>
      <c r="E31" s="6">
        <f>SUM(F31+H31)</f>
        <v>193945</v>
      </c>
      <c r="F31" s="110">
        <f>SUM(F12,F22,F24,F26,F28+F30)</f>
        <v>193945</v>
      </c>
      <c r="G31" s="6"/>
      <c r="H31" s="6"/>
    </row>
    <row r="33" spans="6:6" x14ac:dyDescent="0.2">
      <c r="F33" s="189"/>
    </row>
  </sheetData>
  <mergeCells count="21">
    <mergeCell ref="B12:D12"/>
    <mergeCell ref="D1:H1"/>
    <mergeCell ref="D2:I2"/>
    <mergeCell ref="D3:G3"/>
    <mergeCell ref="A6:G6"/>
    <mergeCell ref="A8:A11"/>
    <mergeCell ref="B8:B11"/>
    <mergeCell ref="C8:C11"/>
    <mergeCell ref="D8:D11"/>
    <mergeCell ref="E8:E11"/>
    <mergeCell ref="F8:H8"/>
    <mergeCell ref="F9:G9"/>
    <mergeCell ref="H9:H11"/>
    <mergeCell ref="F10:F11"/>
    <mergeCell ref="G10:G11"/>
    <mergeCell ref="A5:H5"/>
    <mergeCell ref="B21:H21"/>
    <mergeCell ref="B23:H23"/>
    <mergeCell ref="B25:H25"/>
    <mergeCell ref="B27:H27"/>
    <mergeCell ref="B29:H29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9</vt:i4>
      </vt:variant>
    </vt:vector>
  </HeadingPairs>
  <TitlesOfParts>
    <vt:vector size="9" baseType="lpstr">
      <vt:lpstr>pajamos </vt:lpstr>
      <vt:lpstr>Asign.2</vt:lpstr>
      <vt:lpstr>sav.f. 3 </vt:lpstr>
      <vt:lpstr>Valst.f. 4</vt:lpstr>
      <vt:lpstr>MK 5</vt:lpstr>
      <vt:lpstr>AARP.6</vt:lpstr>
      <vt:lpstr>Spec.7</vt:lpstr>
      <vt:lpstr>Progr.8</vt:lpstr>
      <vt:lpstr>Lik. 9</vt:lpstr>
    </vt:vector>
  </TitlesOfParts>
  <Company>Lazdiju raj. savivaldybe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Finansu skyrius</dc:creator>
  <cp:lastModifiedBy>Laima Jauniskiene</cp:lastModifiedBy>
  <cp:lastPrinted>2015-06-23T07:28:49Z</cp:lastPrinted>
  <dcterms:created xsi:type="dcterms:W3CDTF">2001-02-14T07:46:15Z</dcterms:created>
  <dcterms:modified xsi:type="dcterms:W3CDTF">2015-06-25T05:32:08Z</dcterms:modified>
</cp:coreProperties>
</file>