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520" yWindow="1560" windowWidth="11655" windowHeight="1860" activeTab="1"/>
  </bookViews>
  <sheets>
    <sheet name="pajamos " sheetId="1" r:id="rId1"/>
    <sheet name="Asign.2" sheetId="16" r:id="rId2"/>
    <sheet name="sav.f. 3 " sheetId="10" r:id="rId3"/>
    <sheet name="Valst.f. 4" sheetId="11" r:id="rId4"/>
    <sheet name="MK 5" sheetId="12" r:id="rId5"/>
    <sheet name="AARP.6" sheetId="9" r:id="rId6"/>
    <sheet name="Spec.7" sheetId="8" r:id="rId7"/>
    <sheet name="Progr.8" sheetId="5" r:id="rId8"/>
    <sheet name="Lik. 9" sheetId="17" r:id="rId9"/>
  </sheets>
  <calcPr calcId="145621"/>
</workbook>
</file>

<file path=xl/calcChain.xml><?xml version="1.0" encoding="utf-8"?>
<calcChain xmlns="http://schemas.openxmlformats.org/spreadsheetml/2006/main">
  <c r="E71" i="5" l="1"/>
  <c r="E96" i="5"/>
  <c r="H35" i="11" l="1"/>
  <c r="H27" i="11"/>
  <c r="I37" i="10"/>
  <c r="I23" i="10"/>
  <c r="G114" i="10"/>
  <c r="G115" i="10"/>
  <c r="G85" i="10" l="1"/>
  <c r="G18" i="10"/>
  <c r="G44" i="10"/>
  <c r="I44" i="10"/>
  <c r="I49" i="10" l="1"/>
  <c r="G49" i="10"/>
  <c r="E86" i="5" l="1"/>
  <c r="G78" i="10"/>
  <c r="E114" i="5" l="1"/>
  <c r="G100" i="10"/>
  <c r="E116" i="5"/>
  <c r="G102" i="10"/>
  <c r="I102" i="10"/>
  <c r="G92" i="10"/>
  <c r="I92" i="10"/>
  <c r="E46" i="5" l="1"/>
  <c r="E105" i="5" l="1"/>
  <c r="E103" i="5"/>
  <c r="E102" i="5"/>
  <c r="E127" i="5"/>
  <c r="E126" i="5"/>
  <c r="E115" i="5"/>
  <c r="E111" i="5"/>
  <c r="E110" i="5"/>
  <c r="E108" i="5"/>
  <c r="E109" i="5"/>
  <c r="E84" i="5"/>
  <c r="H17" i="5" l="1"/>
  <c r="H114" i="5"/>
  <c r="H127" i="5"/>
  <c r="E91" i="5"/>
  <c r="H91" i="5"/>
  <c r="H96" i="5"/>
  <c r="H86" i="5"/>
  <c r="G90" i="10"/>
  <c r="I65" i="11"/>
  <c r="G111" i="10" l="1"/>
  <c r="H90" i="10"/>
  <c r="H91" i="10"/>
  <c r="G91" i="10"/>
  <c r="H89" i="10"/>
  <c r="G89" i="10"/>
  <c r="H88" i="10"/>
  <c r="G88" i="10"/>
  <c r="H102" i="10"/>
  <c r="G101" i="10"/>
  <c r="H101" i="10"/>
  <c r="I101" i="10"/>
  <c r="I100" i="10"/>
  <c r="H100" i="10"/>
  <c r="H98" i="10"/>
  <c r="G98" i="10"/>
  <c r="H97" i="10"/>
  <c r="G97" i="10"/>
  <c r="G96" i="10"/>
  <c r="G94" i="10"/>
  <c r="H94" i="10"/>
  <c r="G93" i="10"/>
  <c r="H92" i="10"/>
  <c r="G95" i="10"/>
  <c r="I95" i="10"/>
  <c r="G82" i="10"/>
  <c r="H83" i="10"/>
  <c r="G83" i="10"/>
  <c r="H130" i="5" l="1"/>
  <c r="E130" i="5"/>
  <c r="G118" i="10"/>
  <c r="G113" i="10"/>
  <c r="G105" i="10"/>
  <c r="G73" i="10"/>
  <c r="G33" i="10"/>
  <c r="G86" i="10"/>
  <c r="H17" i="11" l="1"/>
  <c r="H18" i="11"/>
  <c r="H119" i="5" l="1"/>
  <c r="G116" i="10"/>
  <c r="G64" i="10"/>
  <c r="G46" i="10"/>
  <c r="I51" i="10"/>
  <c r="G51" i="10"/>
  <c r="G63" i="10"/>
  <c r="G45" i="10"/>
  <c r="G67" i="10"/>
  <c r="G68" i="10"/>
  <c r="G50" i="10"/>
  <c r="G61" i="10"/>
  <c r="G43" i="10"/>
  <c r="G107" i="10"/>
  <c r="G123" i="10"/>
  <c r="H123" i="10"/>
  <c r="G124" i="10"/>
  <c r="G110" i="10"/>
  <c r="H110" i="10"/>
  <c r="G76" i="10"/>
  <c r="H76" i="10"/>
  <c r="G38" i="10"/>
  <c r="H38" i="10"/>
  <c r="I57" i="10"/>
  <c r="G29" i="10"/>
  <c r="G30" i="10"/>
  <c r="I18" i="10"/>
  <c r="H18" i="10"/>
  <c r="G17" i="10"/>
  <c r="H17" i="10"/>
  <c r="G15" i="10"/>
  <c r="H15" i="10"/>
  <c r="H33" i="11"/>
  <c r="H28" i="11"/>
  <c r="H25" i="11"/>
  <c r="H16" i="11"/>
  <c r="G18" i="11"/>
  <c r="G17" i="11"/>
  <c r="I108" i="5"/>
  <c r="F30" i="8"/>
  <c r="G29" i="8"/>
  <c r="G32" i="11" l="1"/>
  <c r="G31" i="11"/>
  <c r="G52" i="11" l="1"/>
  <c r="G103" i="10" l="1"/>
  <c r="H85" i="5" l="1"/>
  <c r="H103" i="5"/>
  <c r="H108" i="5"/>
  <c r="E57" i="5"/>
  <c r="H116" i="5"/>
  <c r="H102" i="5"/>
  <c r="H110" i="5"/>
  <c r="H111" i="5"/>
  <c r="H115" i="5"/>
  <c r="H71" i="5"/>
  <c r="H65" i="5"/>
  <c r="F19" i="16"/>
  <c r="G62" i="10"/>
  <c r="G69" i="10"/>
  <c r="G60" i="10"/>
  <c r="G42" i="10"/>
  <c r="G58" i="10"/>
  <c r="G40" i="10"/>
  <c r="I83" i="10"/>
  <c r="D23" i="16"/>
  <c r="G48" i="10"/>
  <c r="G72" i="10"/>
  <c r="I72" i="10"/>
  <c r="H53" i="11"/>
  <c r="F118" i="10"/>
  <c r="G33" i="11" l="1"/>
  <c r="E32" i="16" l="1"/>
  <c r="G77" i="10" l="1"/>
  <c r="F55" i="11" l="1"/>
  <c r="G71" i="10" l="1"/>
  <c r="G70" i="10"/>
  <c r="H100" i="5" l="1"/>
  <c r="H72" i="5"/>
  <c r="H77" i="10"/>
  <c r="E36" i="16" s="1"/>
  <c r="G99" i="10"/>
  <c r="G121" i="10"/>
  <c r="G120" i="10"/>
  <c r="G32" i="10"/>
  <c r="G22" i="10"/>
  <c r="G34" i="12" l="1"/>
  <c r="F15" i="16" l="1"/>
  <c r="D91" i="5" l="1"/>
  <c r="E34" i="16" l="1"/>
  <c r="D35" i="16"/>
  <c r="E35" i="16"/>
  <c r="F58" i="11" l="1"/>
  <c r="F59" i="11"/>
  <c r="F60" i="11"/>
  <c r="F62" i="11"/>
  <c r="F105" i="10" l="1"/>
  <c r="G125" i="10"/>
  <c r="F32" i="10"/>
  <c r="E68" i="5" l="1"/>
  <c r="F29" i="16" l="1"/>
  <c r="F63" i="11"/>
  <c r="F114" i="5" s="1"/>
  <c r="G26" i="8" l="1"/>
  <c r="I81" i="5" s="1"/>
  <c r="D36" i="16" l="1"/>
  <c r="F114" i="10"/>
  <c r="F115" i="10"/>
  <c r="F116" i="10"/>
  <c r="E23" i="17"/>
  <c r="E28" i="17"/>
  <c r="E26" i="17" s="1"/>
  <c r="H26" i="17"/>
  <c r="G26" i="17"/>
  <c r="F26" i="17"/>
  <c r="E25" i="17"/>
  <c r="E22" i="17"/>
  <c r="E21" i="17"/>
  <c r="E20" i="17"/>
  <c r="E18" i="17"/>
  <c r="E17" i="17"/>
  <c r="E16" i="17"/>
  <c r="E15" i="17"/>
  <c r="E14" i="17"/>
  <c r="H12" i="17"/>
  <c r="G12" i="17"/>
  <c r="F12" i="17"/>
  <c r="E12" i="17" l="1"/>
  <c r="F36" i="16"/>
  <c r="G12" i="8" l="1"/>
  <c r="G13" i="8"/>
  <c r="G14" i="8"/>
  <c r="G15" i="8"/>
  <c r="G16" i="8"/>
  <c r="G17" i="8"/>
  <c r="G18" i="8"/>
  <c r="G19" i="8"/>
  <c r="G20" i="8"/>
  <c r="G21" i="8"/>
  <c r="G22" i="8"/>
  <c r="G24" i="8"/>
  <c r="G25" i="8"/>
  <c r="G28" i="8"/>
  <c r="D34" i="16" s="1"/>
  <c r="G11" i="8"/>
  <c r="D30" i="8"/>
  <c r="E34" i="5" l="1"/>
  <c r="F123" i="10"/>
  <c r="G118" i="5"/>
  <c r="E90" i="5"/>
  <c r="D90" i="5" s="1"/>
  <c r="F80" i="10"/>
  <c r="H28" i="1" l="1"/>
  <c r="H21" i="1"/>
  <c r="H20" i="1"/>
  <c r="H9" i="1"/>
  <c r="E33" i="16"/>
  <c r="H34" i="12"/>
  <c r="I34" i="12"/>
  <c r="F32" i="12"/>
  <c r="G123" i="5" s="1"/>
  <c r="D123" i="5" s="1"/>
  <c r="F31" i="12"/>
  <c r="F56" i="11"/>
  <c r="F81" i="5" s="1"/>
  <c r="F64" i="11"/>
  <c r="F116" i="5" s="1"/>
  <c r="F61" i="11"/>
  <c r="F78" i="5" s="1"/>
  <c r="H52" i="11"/>
  <c r="H34" i="11"/>
  <c r="H30" i="11"/>
  <c r="G30" i="11"/>
  <c r="F50" i="10"/>
  <c r="F24" i="16"/>
  <c r="F26" i="16"/>
  <c r="F18" i="16"/>
  <c r="F17" i="16"/>
  <c r="F31" i="16"/>
  <c r="F30" i="16"/>
  <c r="F22" i="16"/>
  <c r="F25" i="16"/>
  <c r="F27" i="16"/>
  <c r="F18" i="10"/>
  <c r="F23" i="10"/>
  <c r="E20" i="5" s="1"/>
  <c r="D20" i="5" s="1"/>
  <c r="F101" i="10"/>
  <c r="F81" i="10"/>
  <c r="E89" i="5" s="1"/>
  <c r="D89" i="5" s="1"/>
  <c r="H125" i="10"/>
  <c r="F47" i="10"/>
  <c r="I125" i="10"/>
  <c r="F33" i="12"/>
  <c r="H21" i="5"/>
  <c r="E30" i="16"/>
  <c r="F39" i="10"/>
  <c r="F124" i="10"/>
  <c r="E75" i="5" s="1"/>
  <c r="D75" i="5" s="1"/>
  <c r="H149" i="5"/>
  <c r="H124" i="5"/>
  <c r="H94" i="5"/>
  <c r="H82" i="5"/>
  <c r="H76" i="5"/>
  <c r="H69" i="5"/>
  <c r="H66" i="5"/>
  <c r="H44" i="5"/>
  <c r="H41" i="5"/>
  <c r="H38" i="5"/>
  <c r="H35" i="5"/>
  <c r="H26" i="5"/>
  <c r="H30" i="5" s="1"/>
  <c r="F21" i="16"/>
  <c r="F32" i="16"/>
  <c r="F33" i="16"/>
  <c r="F15" i="12"/>
  <c r="G103" i="5" s="1"/>
  <c r="F16" i="12"/>
  <c r="G104" i="5" s="1"/>
  <c r="F17" i="12"/>
  <c r="G105" i="5" s="1"/>
  <c r="F18" i="12"/>
  <c r="G106" i="5" s="1"/>
  <c r="F19" i="12"/>
  <c r="G107" i="5" s="1"/>
  <c r="F20" i="12"/>
  <c r="G108" i="5" s="1"/>
  <c r="F21" i="12"/>
  <c r="G109" i="5" s="1"/>
  <c r="F22" i="12"/>
  <c r="G110" i="5" s="1"/>
  <c r="F23" i="12"/>
  <c r="G111" i="5" s="1"/>
  <c r="F24" i="12"/>
  <c r="G112" i="5" s="1"/>
  <c r="F25" i="12"/>
  <c r="G113" i="5" s="1"/>
  <c r="F26" i="12"/>
  <c r="G114" i="5" s="1"/>
  <c r="F27" i="12"/>
  <c r="G115" i="5" s="1"/>
  <c r="F28" i="12"/>
  <c r="G116" i="5" s="1"/>
  <c r="F29" i="12"/>
  <c r="G117" i="5" s="1"/>
  <c r="F30" i="12"/>
  <c r="G93" i="5" s="1"/>
  <c r="G94" i="5" s="1"/>
  <c r="F14" i="12"/>
  <c r="G102" i="5" s="1"/>
  <c r="F20" i="16"/>
  <c r="F44" i="10"/>
  <c r="E122" i="5"/>
  <c r="D122" i="5" s="1"/>
  <c r="F87" i="5"/>
  <c r="D87" i="5" s="1"/>
  <c r="F57" i="11"/>
  <c r="F54" i="11"/>
  <c r="F18" i="11"/>
  <c r="F16" i="10"/>
  <c r="F127" i="5"/>
  <c r="F35" i="11"/>
  <c r="F82" i="10"/>
  <c r="F78" i="10"/>
  <c r="F100" i="10"/>
  <c r="F98" i="10"/>
  <c r="E112" i="5" s="1"/>
  <c r="F37" i="10"/>
  <c r="D26" i="16"/>
  <c r="F34" i="16"/>
  <c r="F35" i="16"/>
  <c r="F37" i="16"/>
  <c r="E33" i="5"/>
  <c r="D33" i="5" s="1"/>
  <c r="F34" i="10"/>
  <c r="F86" i="10"/>
  <c r="F69" i="5"/>
  <c r="G69" i="5"/>
  <c r="I69" i="5"/>
  <c r="F24" i="10"/>
  <c r="E23" i="5" s="1"/>
  <c r="F28" i="10"/>
  <c r="E28" i="5" s="1"/>
  <c r="F26" i="5"/>
  <c r="F30" i="5" s="1"/>
  <c r="G26" i="5"/>
  <c r="G30" i="5" s="1"/>
  <c r="I26" i="5"/>
  <c r="I30" i="5" s="1"/>
  <c r="F30" i="10"/>
  <c r="F52" i="10"/>
  <c r="F41" i="10"/>
  <c r="F45" i="10"/>
  <c r="F49" i="10"/>
  <c r="F53" i="10"/>
  <c r="G66" i="5"/>
  <c r="I66" i="5"/>
  <c r="F73" i="10"/>
  <c r="E78" i="5" s="1"/>
  <c r="F75" i="10"/>
  <c r="E80" i="5" s="1"/>
  <c r="D80" i="5" s="1"/>
  <c r="G82" i="5"/>
  <c r="I82" i="5"/>
  <c r="F87" i="10"/>
  <c r="E97" i="5" s="1"/>
  <c r="D97" i="5" s="1"/>
  <c r="F85" i="10"/>
  <c r="F100" i="5"/>
  <c r="G100" i="5"/>
  <c r="I100" i="5"/>
  <c r="F76" i="10"/>
  <c r="I21" i="5"/>
  <c r="G21" i="5"/>
  <c r="F35" i="5"/>
  <c r="G35" i="5"/>
  <c r="I35" i="5"/>
  <c r="F38" i="5"/>
  <c r="G38" i="5"/>
  <c r="I38" i="5"/>
  <c r="F83" i="10"/>
  <c r="D33" i="16"/>
  <c r="I92" i="5"/>
  <c r="F88" i="10"/>
  <c r="F89" i="10"/>
  <c r="F92" i="10"/>
  <c r="E106" i="5" s="1"/>
  <c r="F93" i="10"/>
  <c r="E107" i="5" s="1"/>
  <c r="F95" i="10"/>
  <c r="F96" i="10"/>
  <c r="F97" i="10"/>
  <c r="F102" i="10"/>
  <c r="D17" i="16"/>
  <c r="I103" i="5"/>
  <c r="I104" i="5"/>
  <c r="I105" i="5"/>
  <c r="D24" i="16"/>
  <c r="D25" i="16"/>
  <c r="I112" i="5"/>
  <c r="I113" i="5"/>
  <c r="I114" i="5"/>
  <c r="D29" i="16"/>
  <c r="D31" i="16"/>
  <c r="D30" i="16"/>
  <c r="I116" i="5"/>
  <c r="I117" i="5"/>
  <c r="D37" i="16"/>
  <c r="G149" i="5"/>
  <c r="E41" i="5"/>
  <c r="G41" i="5"/>
  <c r="I41" i="5"/>
  <c r="E44" i="5"/>
  <c r="G44" i="5"/>
  <c r="I44" i="5"/>
  <c r="F36" i="11"/>
  <c r="F134" i="5" s="1"/>
  <c r="D134" i="5" s="1"/>
  <c r="F108" i="10"/>
  <c r="E121" i="5" s="1"/>
  <c r="D121" i="5" s="1"/>
  <c r="E52" i="16"/>
  <c r="F52" i="16"/>
  <c r="D52" i="16"/>
  <c r="F54" i="10"/>
  <c r="E74" i="5" s="1"/>
  <c r="F19" i="10"/>
  <c r="F20" i="10"/>
  <c r="F110" i="10"/>
  <c r="F22" i="10"/>
  <c r="F76" i="5"/>
  <c r="G76" i="5"/>
  <c r="I76" i="5"/>
  <c r="F25" i="10"/>
  <c r="E24" i="5" s="1"/>
  <c r="D24" i="5" s="1"/>
  <c r="F52" i="11"/>
  <c r="F40" i="16"/>
  <c r="F41" i="16"/>
  <c r="F42" i="16"/>
  <c r="F43" i="16"/>
  <c r="F44" i="16"/>
  <c r="F45" i="16"/>
  <c r="F46" i="16"/>
  <c r="F47" i="16"/>
  <c r="F48" i="16"/>
  <c r="F49" i="16"/>
  <c r="F50" i="16"/>
  <c r="F51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39" i="16"/>
  <c r="F39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E38" i="16"/>
  <c r="F38" i="16"/>
  <c r="D38" i="16"/>
  <c r="E37" i="16"/>
  <c r="E31" i="16"/>
  <c r="E29" i="16"/>
  <c r="E28" i="16"/>
  <c r="E27" i="16"/>
  <c r="E26" i="16"/>
  <c r="E25" i="16"/>
  <c r="E24" i="16"/>
  <c r="E23" i="16"/>
  <c r="E22" i="16"/>
  <c r="D22" i="16"/>
  <c r="E21" i="16"/>
  <c r="D21" i="16"/>
  <c r="E20" i="16"/>
  <c r="E19" i="16"/>
  <c r="E17" i="16"/>
  <c r="E18" i="16"/>
  <c r="E16" i="16"/>
  <c r="F16" i="16"/>
  <c r="D16" i="16"/>
  <c r="F14" i="11"/>
  <c r="F15" i="11"/>
  <c r="F16" i="11"/>
  <c r="F17" i="11"/>
  <c r="F19" i="11"/>
  <c r="F20" i="11"/>
  <c r="F21" i="11"/>
  <c r="F22" i="11"/>
  <c r="F24" i="11"/>
  <c r="F25" i="11"/>
  <c r="F27" i="11"/>
  <c r="F53" i="11"/>
  <c r="F113" i="10"/>
  <c r="F122" i="10"/>
  <c r="E132" i="5" s="1"/>
  <c r="D132" i="5" s="1"/>
  <c r="F121" i="10"/>
  <c r="F120" i="10"/>
  <c r="F50" i="11"/>
  <c r="F148" i="5" s="1"/>
  <c r="D148" i="5" s="1"/>
  <c r="F77" i="10"/>
  <c r="F36" i="10"/>
  <c r="E37" i="5" s="1"/>
  <c r="F33" i="10"/>
  <c r="E32" i="5" s="1"/>
  <c r="F35" i="10"/>
  <c r="F29" i="10"/>
  <c r="E29" i="5" s="1"/>
  <c r="D29" i="5" s="1"/>
  <c r="F26" i="10"/>
  <c r="E25" i="5" s="1"/>
  <c r="D25" i="5" s="1"/>
  <c r="F17" i="10"/>
  <c r="E16" i="5" s="1"/>
  <c r="F21" i="10"/>
  <c r="E19" i="5" s="1"/>
  <c r="D19" i="5" s="1"/>
  <c r="F27" i="10"/>
  <c r="F15" i="10"/>
  <c r="E15" i="5" s="1"/>
  <c r="D15" i="5" s="1"/>
  <c r="F84" i="10"/>
  <c r="E92" i="5" s="1"/>
  <c r="F111" i="10"/>
  <c r="F112" i="10"/>
  <c r="E98" i="5" s="1"/>
  <c r="D98" i="5" s="1"/>
  <c r="F117" i="10"/>
  <c r="E129" i="5" s="1"/>
  <c r="F119" i="10"/>
  <c r="F106" i="10"/>
  <c r="E118" i="5" s="1"/>
  <c r="F90" i="10"/>
  <c r="E104" i="5" s="1"/>
  <c r="F91" i="10"/>
  <c r="F103" i="10"/>
  <c r="E117" i="5" s="1"/>
  <c r="F107" i="10"/>
  <c r="D119" i="5" s="1"/>
  <c r="F79" i="10"/>
  <c r="E88" i="5" s="1"/>
  <c r="D88" i="5" s="1"/>
  <c r="F104" i="10"/>
  <c r="F74" i="10"/>
  <c r="E79" i="5" s="1"/>
  <c r="D79" i="5" s="1"/>
  <c r="F55" i="10"/>
  <c r="E64" i="5" s="1"/>
  <c r="D64" i="5" s="1"/>
  <c r="F40" i="10"/>
  <c r="F58" i="10"/>
  <c r="F59" i="10"/>
  <c r="F42" i="10"/>
  <c r="F60" i="10"/>
  <c r="F43" i="10"/>
  <c r="F61" i="10"/>
  <c r="F62" i="10"/>
  <c r="F63" i="10"/>
  <c r="F46" i="10"/>
  <c r="F64" i="10"/>
  <c r="F65" i="10"/>
  <c r="F48" i="10"/>
  <c r="F66" i="10"/>
  <c r="F67" i="10"/>
  <c r="F68" i="10"/>
  <c r="F51" i="10"/>
  <c r="F69" i="10"/>
  <c r="F70" i="10"/>
  <c r="F71" i="10"/>
  <c r="F38" i="10"/>
  <c r="F72" i="10"/>
  <c r="F109" i="10"/>
  <c r="E120" i="5" s="1"/>
  <c r="D120" i="5" s="1"/>
  <c r="F56" i="10"/>
  <c r="E63" i="5" s="1"/>
  <c r="D63" i="5" s="1"/>
  <c r="F23" i="11"/>
  <c r="F18" i="5" s="1"/>
  <c r="D18" i="5" s="1"/>
  <c r="F29" i="11"/>
  <c r="F40" i="5" s="1"/>
  <c r="D40" i="5" s="1"/>
  <c r="F28" i="11"/>
  <c r="F43" i="5" s="1"/>
  <c r="F26" i="11"/>
  <c r="F46" i="5" s="1"/>
  <c r="F66" i="5" s="1"/>
  <c r="F51" i="11"/>
  <c r="F126" i="5" s="1"/>
  <c r="F31" i="11"/>
  <c r="F32" i="11"/>
  <c r="F33" i="11"/>
  <c r="F34" i="11"/>
  <c r="F37" i="11"/>
  <c r="F135" i="5" s="1"/>
  <c r="D135" i="5" s="1"/>
  <c r="F38" i="11"/>
  <c r="F136" i="5" s="1"/>
  <c r="D136" i="5" s="1"/>
  <c r="F39" i="11"/>
  <c r="F137" i="5" s="1"/>
  <c r="D137" i="5" s="1"/>
  <c r="F40" i="11"/>
  <c r="F138" i="5" s="1"/>
  <c r="D138" i="5" s="1"/>
  <c r="F41" i="11"/>
  <c r="F139" i="5" s="1"/>
  <c r="D139" i="5" s="1"/>
  <c r="F42" i="11"/>
  <c r="F140" i="5" s="1"/>
  <c r="D140" i="5" s="1"/>
  <c r="F43" i="11"/>
  <c r="F141" i="5" s="1"/>
  <c r="D141" i="5" s="1"/>
  <c r="F44" i="11"/>
  <c r="F142" i="5" s="1"/>
  <c r="D142" i="5" s="1"/>
  <c r="F45" i="11"/>
  <c r="F143" i="5" s="1"/>
  <c r="D143" i="5" s="1"/>
  <c r="F46" i="11"/>
  <c r="F144" i="5" s="1"/>
  <c r="D144" i="5" s="1"/>
  <c r="F47" i="11"/>
  <c r="F145" i="5" s="1"/>
  <c r="D145" i="5" s="1"/>
  <c r="F48" i="11"/>
  <c r="F146" i="5" s="1"/>
  <c r="D146" i="5" s="1"/>
  <c r="F49" i="11"/>
  <c r="F147" i="5" s="1"/>
  <c r="D147" i="5" s="1"/>
  <c r="E30" i="8"/>
  <c r="D34" i="5"/>
  <c r="F23" i="16"/>
  <c r="F94" i="10"/>
  <c r="F28" i="16"/>
  <c r="F99" i="10"/>
  <c r="F57" i="10"/>
  <c r="I109" i="5"/>
  <c r="I102" i="5"/>
  <c r="I115" i="5"/>
  <c r="I126" i="5"/>
  <c r="I149" i="5" s="1"/>
  <c r="D19" i="16"/>
  <c r="E76" i="5" l="1"/>
  <c r="D118" i="5"/>
  <c r="H150" i="5"/>
  <c r="D86" i="5"/>
  <c r="D65" i="5"/>
  <c r="D129" i="5"/>
  <c r="D128" i="5"/>
  <c r="D99" i="5"/>
  <c r="D131" i="5"/>
  <c r="D15" i="16"/>
  <c r="C15" i="16" s="1"/>
  <c r="G65" i="11"/>
  <c r="E15" i="16"/>
  <c r="E53" i="16" s="1"/>
  <c r="H65" i="11"/>
  <c r="G30" i="8"/>
  <c r="F130" i="5"/>
  <c r="D130" i="5" s="1"/>
  <c r="F125" i="10"/>
  <c r="F124" i="5"/>
  <c r="D48" i="5"/>
  <c r="F34" i="12"/>
  <c r="C23" i="16"/>
  <c r="E62" i="5"/>
  <c r="D62" i="5" s="1"/>
  <c r="E53" i="5"/>
  <c r="D53" i="5" s="1"/>
  <c r="F41" i="5"/>
  <c r="D41" i="5" s="1"/>
  <c r="D111" i="5"/>
  <c r="F44" i="5"/>
  <c r="D44" i="5" s="1"/>
  <c r="D43" i="5"/>
  <c r="E56" i="5"/>
  <c r="D56" i="5" s="1"/>
  <c r="F82" i="5"/>
  <c r="F94" i="5"/>
  <c r="F133" i="5"/>
  <c r="D133" i="5" s="1"/>
  <c r="F17" i="5"/>
  <c r="F21" i="5" s="1"/>
  <c r="E59" i="5"/>
  <c r="D59" i="5" s="1"/>
  <c r="D106" i="5"/>
  <c r="F30" i="11"/>
  <c r="F65" i="11" s="1"/>
  <c r="H39" i="1"/>
  <c r="H44" i="1" s="1"/>
  <c r="C17" i="16"/>
  <c r="E49" i="5"/>
  <c r="D49" i="5" s="1"/>
  <c r="C16" i="16"/>
  <c r="C19" i="16"/>
  <c r="C21" i="16"/>
  <c r="C33" i="16"/>
  <c r="C29" i="16"/>
  <c r="C24" i="16"/>
  <c r="D32" i="16"/>
  <c r="C32" i="16" s="1"/>
  <c r="D27" i="16"/>
  <c r="C27" i="16" s="1"/>
  <c r="C31" i="16"/>
  <c r="C34" i="16"/>
  <c r="C36" i="16"/>
  <c r="C26" i="16"/>
  <c r="C25" i="16"/>
  <c r="D28" i="16"/>
  <c r="C28" i="16" s="1"/>
  <c r="D81" i="5"/>
  <c r="D20" i="16"/>
  <c r="C20" i="16" s="1"/>
  <c r="I110" i="5"/>
  <c r="D110" i="5" s="1"/>
  <c r="D18" i="16"/>
  <c r="C18" i="16" s="1"/>
  <c r="D105" i="5"/>
  <c r="I84" i="5"/>
  <c r="I94" i="5" s="1"/>
  <c r="C35" i="16"/>
  <c r="E61" i="5"/>
  <c r="D61" i="5" s="1"/>
  <c r="D92" i="5"/>
  <c r="C22" i="16"/>
  <c r="E21" i="5"/>
  <c r="C50" i="16"/>
  <c r="C48" i="16"/>
  <c r="C37" i="16"/>
  <c r="G124" i="5"/>
  <c r="G150" i="5" s="1"/>
  <c r="D113" i="5"/>
  <c r="D93" i="5"/>
  <c r="D117" i="5"/>
  <c r="D104" i="5"/>
  <c r="D127" i="5"/>
  <c r="D107" i="5"/>
  <c r="D103" i="5"/>
  <c r="C30" i="16"/>
  <c r="C51" i="16"/>
  <c r="C49" i="16"/>
  <c r="C47" i="16"/>
  <c r="C45" i="16"/>
  <c r="C43" i="16"/>
  <c r="D109" i="5"/>
  <c r="C46" i="16"/>
  <c r="C44" i="16"/>
  <c r="D57" i="5"/>
  <c r="E55" i="5"/>
  <c r="D55" i="5" s="1"/>
  <c r="C41" i="16"/>
  <c r="C39" i="16"/>
  <c r="D102" i="5"/>
  <c r="D46" i="5"/>
  <c r="D115" i="5"/>
  <c r="D74" i="5"/>
  <c r="D76" i="5" s="1"/>
  <c r="D23" i="5"/>
  <c r="D26" i="5" s="1"/>
  <c r="E26" i="5"/>
  <c r="E30" i="5"/>
  <c r="D30" i="5" s="1"/>
  <c r="D28" i="5"/>
  <c r="E60" i="5"/>
  <c r="D60" i="5" s="1"/>
  <c r="E52" i="5"/>
  <c r="D52" i="5" s="1"/>
  <c r="E51" i="5"/>
  <c r="D51" i="5" s="1"/>
  <c r="E50" i="5"/>
  <c r="D50" i="5" s="1"/>
  <c r="C38" i="16"/>
  <c r="C42" i="16"/>
  <c r="C40" i="16"/>
  <c r="D37" i="5"/>
  <c r="E38" i="5"/>
  <c r="D38" i="5" s="1"/>
  <c r="D112" i="5"/>
  <c r="D114" i="5"/>
  <c r="D47" i="5"/>
  <c r="E149" i="5"/>
  <c r="D126" i="5"/>
  <c r="D32" i="5"/>
  <c r="E35" i="5"/>
  <c r="D35" i="5" s="1"/>
  <c r="D96" i="5"/>
  <c r="E100" i="5"/>
  <c r="E72" i="5"/>
  <c r="D71" i="5"/>
  <c r="D72" i="5" s="1"/>
  <c r="D108" i="5"/>
  <c r="E124" i="5"/>
  <c r="E94" i="5"/>
  <c r="D85" i="5"/>
  <c r="E82" i="5"/>
  <c r="D78" i="5"/>
  <c r="C52" i="16"/>
  <c r="F53" i="16"/>
  <c r="D16" i="5"/>
  <c r="D58" i="5" l="1"/>
  <c r="D54" i="5"/>
  <c r="D116" i="5"/>
  <c r="D100" i="5"/>
  <c r="I124" i="5"/>
  <c r="I150" i="5" s="1"/>
  <c r="D82" i="5"/>
  <c r="F149" i="5"/>
  <c r="F150" i="5" s="1"/>
  <c r="D21" i="5"/>
  <c r="H41" i="1"/>
  <c r="D17" i="5"/>
  <c r="D68" i="5"/>
  <c r="D94" i="5"/>
  <c r="D84" i="5"/>
  <c r="C53" i="16"/>
  <c r="E66" i="5"/>
  <c r="D53" i="16"/>
  <c r="D66" i="5" l="1"/>
  <c r="E150" i="5"/>
  <c r="D124" i="5"/>
  <c r="E69" i="5"/>
  <c r="D69" i="5" s="1"/>
  <c r="D149" i="5"/>
  <c r="D150" i="5" l="1"/>
  <c r="G72" i="5"/>
  <c r="I72" i="5"/>
  <c r="F72" i="5"/>
</calcChain>
</file>

<file path=xl/sharedStrings.xml><?xml version="1.0" encoding="utf-8"?>
<sst xmlns="http://schemas.openxmlformats.org/spreadsheetml/2006/main" count="1679" uniqueCount="501">
  <si>
    <t>Žemės mokestis</t>
  </si>
  <si>
    <t>Nekilnojamojo turto mokestis</t>
  </si>
  <si>
    <t>Pajamos iš baudų ir konfiskacijos</t>
  </si>
  <si>
    <t>Valstybės rinkliavos</t>
  </si>
  <si>
    <t>Iš viso</t>
  </si>
  <si>
    <t>Gatvių apšvietimas</t>
  </si>
  <si>
    <t>Muziejai</t>
  </si>
  <si>
    <t>PAJAMŲ PAVADINIMAS</t>
  </si>
  <si>
    <t>Savivaldybės administracija</t>
  </si>
  <si>
    <t>Gyventojų pajamų mokestis (gautas iš VMI)</t>
  </si>
  <si>
    <t>Mokesčiai</t>
  </si>
  <si>
    <t>Dotacijos</t>
  </si>
  <si>
    <t>Materialiojo ir nematerialiojo turto realizavimo pajamos</t>
  </si>
  <si>
    <t>Bendri asignavimai</t>
  </si>
  <si>
    <t>Savivaldybės gydytojo išlaikymas</t>
  </si>
  <si>
    <t>Kitos sveikatos priežiūros funkcijos</t>
  </si>
  <si>
    <t>Komunalinio ūkio plėtra</t>
  </si>
  <si>
    <t>Daugiatiksliai plėtros projektai</t>
  </si>
  <si>
    <t>Viešoji biblioteka</t>
  </si>
  <si>
    <t>Lazdijų krašto muziejus</t>
  </si>
  <si>
    <t>Transporto lengvatos soc. išskirtiniems asmenims</t>
  </si>
  <si>
    <t>Kitos pajamos</t>
  </si>
  <si>
    <t>Direktoriaus rezervas</t>
  </si>
  <si>
    <t>Keleivių vežimo gerinimas</t>
  </si>
  <si>
    <t>Lazdijų sporto centras</t>
  </si>
  <si>
    <t>Kitos bendros paslaugos</t>
  </si>
  <si>
    <t>Etnokultūros plėtojimo programa</t>
  </si>
  <si>
    <t>Daugiabučių namų modernizavimo programa</t>
  </si>
  <si>
    <t>Lazdijų meno mokykla</t>
  </si>
  <si>
    <t>Vaikų ir paauglių nusikalstamumo prevencijos programa</t>
  </si>
  <si>
    <t>Dantų protezavimas</t>
  </si>
  <si>
    <t>Poilsio ir sporto priemonės</t>
  </si>
  <si>
    <t>Palūkanos už depozitus</t>
  </si>
  <si>
    <t>Nuomos mokestis už valstybinę žemę ir valstybinio vidaus vandenų fondo vandens telkinius</t>
  </si>
  <si>
    <t>Pajamos už patalpų nuomą</t>
  </si>
  <si>
    <t>Pajamos už atsitiktines paslaugas</t>
  </si>
  <si>
    <t xml:space="preserve">     Valstybinėms (perduotoms savivaldybėms) funkcijoms atlikti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</si>
  <si>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</si>
  <si>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</si>
  <si>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</si>
  <si>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</si>
  <si>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</si>
  <si>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</si>
  <si>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</si>
  <si>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</si>
  <si>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</si>
  <si>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</si>
  <si>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</si>
  <si>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</si>
  <si>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</si>
  <si>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</si>
  <si>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</si>
  <si>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</si>
  <si>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</si>
  <si>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</si>
  <si>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</si>
  <si>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</si>
  <si>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</si>
  <si>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</si>
  <si>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</si>
  <si>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Eil. Nr.</t>
  </si>
  <si>
    <t>1.1.</t>
  </si>
  <si>
    <t>1.2.</t>
  </si>
  <si>
    <t>2.1.</t>
  </si>
  <si>
    <t>1.3.</t>
  </si>
  <si>
    <t>2.2.</t>
  </si>
  <si>
    <t>3.2.</t>
  </si>
  <si>
    <t>3.3.</t>
  </si>
  <si>
    <t>3.1.</t>
  </si>
  <si>
    <t>24.</t>
  </si>
  <si>
    <t>Parama žemės ūkiui</t>
  </si>
  <si>
    <t xml:space="preserve">VšĮ  „Lazdijų  turizmo informacinis centras“ </t>
  </si>
  <si>
    <t xml:space="preserve">VšĮ  „Lazdijų  ligoninė“ </t>
  </si>
  <si>
    <t>VšĮ Lazdijų švietimo centras</t>
  </si>
  <si>
    <t>Vaikų vasaros poilsio stovyklų programa</t>
  </si>
  <si>
    <t>Paveldimo turto mokestis</t>
  </si>
  <si>
    <t>Mokestis už aplinkos teršimą</t>
  </si>
  <si>
    <t xml:space="preserve">     Mokinio krepšeliui finansuoti</t>
  </si>
  <si>
    <t>Mokesčiai už valstybinius gamtos išteklius</t>
  </si>
  <si>
    <t>Įmokos už išlaikymą švietimo, socialinės apsaugos ir kitose įstaigose</t>
  </si>
  <si>
    <t>Lazdijų rajono savivaldybės tarybos</t>
  </si>
  <si>
    <t xml:space="preserve">IŠ VISO </t>
  </si>
  <si>
    <t>25.</t>
  </si>
  <si>
    <t xml:space="preserve">Savivaldybės administracija </t>
  </si>
  <si>
    <t>Gyventojų pajamų mokestis savivaldybės išlaidų struktūros skirtumams išlyginti</t>
  </si>
  <si>
    <t>Gyventojų pajamų mokestis savivaldybės pajamoms iš gyventojų pajamų mokesčio išlyginti</t>
  </si>
  <si>
    <t>Speciali tikslinė dotacija - iš viso, iš jos:</t>
  </si>
  <si>
    <t>1.4.</t>
  </si>
  <si>
    <t>1.5.</t>
  </si>
  <si>
    <t>1.6.</t>
  </si>
  <si>
    <t>1.7.</t>
  </si>
  <si>
    <t>1.8.</t>
  </si>
  <si>
    <t>1.9.</t>
  </si>
  <si>
    <t>2.1.1.</t>
  </si>
  <si>
    <t>2.1.2.</t>
  </si>
  <si>
    <t>3.4.</t>
  </si>
  <si>
    <t>3.5.</t>
  </si>
  <si>
    <t>3.6.</t>
  </si>
  <si>
    <t>3.7.</t>
  </si>
  <si>
    <t>3.8.</t>
  </si>
  <si>
    <t>PAJAMOS</t>
  </si>
  <si>
    <t>IŠLAIDOS</t>
  </si>
  <si>
    <t>I.  Žalos aplinkai kompensavimo priemonėms</t>
  </si>
  <si>
    <t>II. Gamtosaugos objektų projektavimui, statybai, remontui, eksploatacijai</t>
  </si>
  <si>
    <t>III. Aplinkos teršimo šaltinių pašalinimui</t>
  </si>
  <si>
    <t>V. Medžioklės įstatyme numatytoms priemonėms</t>
  </si>
  <si>
    <t>VI. Kitoms aplinkos apsaugos priemonėms</t>
  </si>
  <si>
    <t xml:space="preserve">1 priedas  </t>
  </si>
  <si>
    <t>Išlaidoms</t>
  </si>
  <si>
    <t>Iš jų: darbo užmokes- čiui</t>
  </si>
  <si>
    <t>Vietinės rinkliavos, iš jų:</t>
  </si>
  <si>
    <t>1.9.1.</t>
  </si>
  <si>
    <t xml:space="preserve">     už komunalinių atliekų surinkimą iš atliekų turėtojų ir atliekų tvarkymą</t>
  </si>
  <si>
    <t>Atliekų tvarkymas</t>
  </si>
  <si>
    <t>Maisto iš intervencinių atsargų programai</t>
  </si>
  <si>
    <t>Studijų rėmimo programa</t>
  </si>
  <si>
    <t xml:space="preserve">Aplinkos apsaugos rėmimo specialioji programa </t>
  </si>
  <si>
    <t>Socialinės globos centras „Židinys“</t>
  </si>
  <si>
    <t>Vaikų laikinosios priežiūros užtikrinimas</t>
  </si>
  <si>
    <t>26.</t>
  </si>
  <si>
    <t>Lazdijų rajono policijos komisariato programa</t>
  </si>
  <si>
    <t>27.</t>
  </si>
  <si>
    <t>Visuomenės sveikatos biuras</t>
  </si>
  <si>
    <t xml:space="preserve">                                             SPECIALIOJI PROGRAMA                                              </t>
  </si>
  <si>
    <t>(litais)</t>
  </si>
  <si>
    <t xml:space="preserve">Asignavimų paskirtis                                                                      </t>
  </si>
  <si>
    <t>Bendri asignavi- mai</t>
  </si>
  <si>
    <t>01.</t>
  </si>
  <si>
    <t>Gyventojų registro tvarkymas ir duomenų teikimas</t>
  </si>
  <si>
    <t>Archyvinių dokumentų tvarkymas</t>
  </si>
  <si>
    <t>Civilinės būklės aktų registravimas</t>
  </si>
  <si>
    <t>Gyvenamosios vietos deklaravimas</t>
  </si>
  <si>
    <t>Pirminė teisinė pagalba</t>
  </si>
  <si>
    <t>Darbo rinkos politikos rengimas ir įgyvendinimas</t>
  </si>
  <si>
    <t>Mobilizacijos administravimas</t>
  </si>
  <si>
    <t>Civilinės saugos organizavimas</t>
  </si>
  <si>
    <t>Žemės ūkio funkcijų vykdymas</t>
  </si>
  <si>
    <t>Parama mirties atveju</t>
  </si>
  <si>
    <t>Išmokų administravimas</t>
  </si>
  <si>
    <t>Socialinė parama mokiniams</t>
  </si>
  <si>
    <t>29.</t>
  </si>
  <si>
    <t>30.</t>
  </si>
  <si>
    <t>31.</t>
  </si>
  <si>
    <t>32.</t>
  </si>
  <si>
    <t>33.</t>
  </si>
  <si>
    <t>34.</t>
  </si>
  <si>
    <t>35.</t>
  </si>
  <si>
    <t>36.</t>
  </si>
  <si>
    <t>Globa asmenims su sunkia negalia, iš jų:</t>
  </si>
  <si>
    <t>37.</t>
  </si>
  <si>
    <t>38.</t>
  </si>
  <si>
    <t xml:space="preserve">                                                                                                     Iš viso </t>
  </si>
  <si>
    <t>iš jų:</t>
  </si>
  <si>
    <t>Prog- ra-mos ko-  das</t>
  </si>
  <si>
    <t>Vals-tybės funk-cijos ko-  das</t>
  </si>
  <si>
    <t>Kaimo plėtros programa</t>
  </si>
  <si>
    <t>Priešgaisrinės tarnybos</t>
  </si>
  <si>
    <t>Reikalai, susiję su būstu</t>
  </si>
  <si>
    <t>VšĮ Lazdijų kultūros centras</t>
  </si>
  <si>
    <t>UAB „Lazdijų vanduo“ vandentvarkos gerinimas</t>
  </si>
  <si>
    <t>03.</t>
  </si>
  <si>
    <t>07.</t>
  </si>
  <si>
    <t>09.</t>
  </si>
  <si>
    <t>02.</t>
  </si>
  <si>
    <t>04.</t>
  </si>
  <si>
    <t>08.</t>
  </si>
  <si>
    <t>06.</t>
  </si>
  <si>
    <t>Socialinių paslaugų plėtra globos įstaigose</t>
  </si>
  <si>
    <t>05.</t>
  </si>
  <si>
    <t>Socialinės išmokos</t>
  </si>
  <si>
    <t>Kompensacijų skaičiavimas ir mokėjimas</t>
  </si>
  <si>
    <t>Socialinių paslaugų teikimas</t>
  </si>
  <si>
    <t>Veisiejų technologijos ir verslo mokykla</t>
  </si>
  <si>
    <t>Neformalusis švietimas</t>
  </si>
  <si>
    <t>Globa asmenims su sunkia negalia</t>
  </si>
  <si>
    <t>Bibliotekos</t>
  </si>
  <si>
    <t>Vals-tybės funk-cijos ko- das</t>
  </si>
  <si>
    <t>Prog- ra-mos ko- das</t>
  </si>
  <si>
    <t>Priežiūra socialinės rizikos šeimoms</t>
  </si>
  <si>
    <t>39.</t>
  </si>
  <si>
    <t>40.</t>
  </si>
  <si>
    <t>41.</t>
  </si>
  <si>
    <t>42.</t>
  </si>
  <si>
    <t>43.</t>
  </si>
  <si>
    <t>ASIGNAVIMAI MOKINIO KREPŠELIUI FINANSUOTI</t>
  </si>
  <si>
    <t>Ikimokyklinis ir pradinis ugdymas</t>
  </si>
  <si>
    <t>Ikimokyklinis ugdymas</t>
  </si>
  <si>
    <t>Bendrasis lavinimas</t>
  </si>
  <si>
    <t>Papildomo ugdymo įstaigos</t>
  </si>
  <si>
    <t>Valst. kalbos vartojimo ir taisyklingumo kontrolė</t>
  </si>
  <si>
    <t>Medicinos punktų paslaugų kokybės gerinimas</t>
  </si>
  <si>
    <t>Švietimo, kultūros ir sporto skyriaus išlaikymas</t>
  </si>
  <si>
    <t>Pradinis ugdymas</t>
  </si>
  <si>
    <t>Prog-ramos kodas</t>
  </si>
  <si>
    <t>Valstybės funkcijos kodas</t>
  </si>
  <si>
    <t>Savivaldybės atstovaujamoji institucija</t>
  </si>
  <si>
    <t>Savivaldybės kontrolės ir audito tarnyba</t>
  </si>
  <si>
    <t>Priemonės</t>
  </si>
  <si>
    <t>iš jų: pagal finansavimo šaltinius</t>
  </si>
  <si>
    <t>mokinio krepšeliui</t>
  </si>
  <si>
    <t>Paskolų grąžinimas ir jų aptarnavimas</t>
  </si>
  <si>
    <t>02. Vaikų ir jaunimo užimtumo ir socializacijos programa</t>
  </si>
  <si>
    <t>Iš viso:</t>
  </si>
  <si>
    <t>savival-         dybės           lėšos</t>
  </si>
  <si>
    <t>Gyventojų saugumo užtikrinimo paslaugos</t>
  </si>
  <si>
    <t>03. Viešosios tvarkos ir visuomenės apsaugos užtikrinimo programa</t>
  </si>
  <si>
    <t>04. Turizmo ir verslo programa</t>
  </si>
  <si>
    <t>05. Kaimo plėtros programa</t>
  </si>
  <si>
    <t>PROGRAMOMS VYKDYTI</t>
  </si>
  <si>
    <t>06. Viešųjų darbų programa</t>
  </si>
  <si>
    <t>Viešųjų darbų organizavimas</t>
  </si>
  <si>
    <t>07. Melioracijos darbų vykdymo programa</t>
  </si>
  <si>
    <t xml:space="preserve">Melioracija </t>
  </si>
  <si>
    <t>08. Vietinio ūkio ir infrastruktūros priežiūros ir plėtros programa</t>
  </si>
  <si>
    <t xml:space="preserve">09. Aplinkos apsaugos ir teritorijų planavimo programa </t>
  </si>
  <si>
    <t>10. Investicijų programa</t>
  </si>
  <si>
    <t>11. Būsto programa</t>
  </si>
  <si>
    <t>12. Visuomenės ir asmens sveikatos priežiūros programa</t>
  </si>
  <si>
    <t>Med. punktų slaugos paslaugų kokybės gerinimas</t>
  </si>
  <si>
    <t>13. Kultūros ir sporto plėtojimo programa</t>
  </si>
  <si>
    <t>14. Nevyriausybinių organizacijų rėmimo programa</t>
  </si>
  <si>
    <t>15. Švietimo programa</t>
  </si>
  <si>
    <t>Neformalusis švietimas ir sporto priemonės</t>
  </si>
  <si>
    <t xml:space="preserve">Papildomos švietimo paslaugos </t>
  </si>
  <si>
    <t>16. Socialinės apsaugos plėtojimo, skurdo bei socialinės atskirties mažinimo programa</t>
  </si>
  <si>
    <t>Socialinės paslaugos globos įstaigose</t>
  </si>
  <si>
    <t>Šildymo išlaidų ir išlaidų vandeniui kompensavimas</t>
  </si>
  <si>
    <t>Duomenų teikimas valst. suteiktos pagalbos registrui</t>
  </si>
  <si>
    <t>Iš viso asignavimų programoms:</t>
  </si>
  <si>
    <t>Kontrolės ir priežiūros institucijos</t>
  </si>
  <si>
    <t xml:space="preserve">Savivaldybės vykdomoji institucija </t>
  </si>
  <si>
    <t xml:space="preserve">Asignavimų valdytojai                               (įstaigų vadovai)                                       </t>
  </si>
  <si>
    <t xml:space="preserve">Asignavimų valdytojai                                                             (įstaigų vadovai)                                       </t>
  </si>
  <si>
    <t xml:space="preserve">Asignavimų valdytojai                   (įstaigų vadovai)                       </t>
  </si>
  <si>
    <t>Būdviečio seniūnija</t>
  </si>
  <si>
    <t>Kapčiamiesčio seniūnija</t>
  </si>
  <si>
    <t>Krosnos seniūnija</t>
  </si>
  <si>
    <t>Kučiūnų seniūnija</t>
  </si>
  <si>
    <t>Lazdijų seniūnija</t>
  </si>
  <si>
    <t>Noragėlių seniūnija</t>
  </si>
  <si>
    <t>Seirijų seniūnija</t>
  </si>
  <si>
    <t>Šlavantų seniūnija</t>
  </si>
  <si>
    <t>Šeštokų seniūnija</t>
  </si>
  <si>
    <t>Šventežerio seniūnija</t>
  </si>
  <si>
    <t>Teizų seniūnija</t>
  </si>
  <si>
    <t>Veisiejų miesto seniūnija</t>
  </si>
  <si>
    <t>Veisiejų seniūnija</t>
  </si>
  <si>
    <t>01. Savivaldybės valdymo tobulinimo programa</t>
  </si>
  <si>
    <t>PAGAL ASIGNAVIMŲ VALDYTOJUS</t>
  </si>
  <si>
    <t>Lazdijų miesto seniūnija</t>
  </si>
  <si>
    <t xml:space="preserve">Asignavimų valdytojai                                        (įstaigų vadovai)                                    </t>
  </si>
  <si>
    <t>28.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</si>
  <si>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</si>
  <si>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</si>
  <si>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</si>
  <si>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</si>
  <si>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</si>
  <si>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</si>
  <si>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</si>
  <si>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</si>
  <si>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</si>
  <si>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</si>
  <si>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</si>
  <si>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</si>
  <si>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</si>
  <si>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</si>
  <si>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</si>
  <si>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</si>
  <si>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</si>
  <si>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</si>
  <si>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</si>
  <si>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</si>
  <si>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</si>
  <si>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</si>
  <si>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</si>
  <si>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</si>
  <si>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</si>
  <si>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</si>
  <si>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</si>
  <si>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</si>
  <si>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</si>
  <si>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</si>
  <si>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</si>
  <si>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</si>
  <si>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</si>
  <si>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</si>
  <si>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</si>
  <si>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</si>
  <si>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</si>
  <si>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</si>
  <si>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</si>
  <si>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</si>
  <si>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</si>
  <si>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</si>
  <si>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</si>
  <si>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</si>
  <si>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</si>
  <si>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</si>
  <si>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</si>
  <si>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</si>
  <si>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</si>
  <si>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</si>
  <si>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</si>
  <si>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</si>
  <si>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</si>
  <si>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</si>
  <si>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</si>
  <si>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</si>
  <si>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102.</t>
  </si>
  <si>
    <t>103.</t>
  </si>
  <si>
    <t>104.</t>
  </si>
  <si>
    <t xml:space="preserve">                     SAVIVALDYBĖS SAVARANKIŠKOSIOMS IR KITOMS FUNKCIJOMS VYKDYTI</t>
  </si>
  <si>
    <t>Pašalpų ir kompensacijų skaičiavimas ir mokėjimas, iš jų:</t>
  </si>
  <si>
    <t>1. Savivaldybės visuomenės sveikatos rėmimo specialiosios programos vykdymui</t>
  </si>
  <si>
    <t>Melioracija</t>
  </si>
  <si>
    <t>Atliekų tvarkymas ir gatvių apšvietimas</t>
  </si>
  <si>
    <t>Socialinės išmokos ir kompensacijos</t>
  </si>
  <si>
    <t>Maisto iš intervencinių atsargų programa</t>
  </si>
  <si>
    <t>Savivaldybės administracijos Finansų skyrius</t>
  </si>
  <si>
    <t>Bendrosios dotacijos kompensacija</t>
  </si>
  <si>
    <t>Papildomos ugdymo įstaigos</t>
  </si>
  <si>
    <t>Jaunimo poilsio organizavimo programa</t>
  </si>
  <si>
    <t>Priešgaisrinių tarnybų organizavimas</t>
  </si>
  <si>
    <t>Veisiejų gimnazija</t>
  </si>
  <si>
    <t>Būsto nuomos mokesčio dalies kompensavimas</t>
  </si>
  <si>
    <t>Mokesčiai už aplinkos teršimą</t>
  </si>
  <si>
    <t>Mokesčiai už medžiojamų gyvūnų išteklių naudojimą</t>
  </si>
  <si>
    <t>Mokesčiai už kitus valstybinius gamtos išteklius</t>
  </si>
  <si>
    <t>Europos Sąjungos finansinės paramos lėšos</t>
  </si>
  <si>
    <t>Sandoriams dėl turto bei finansiniams įsipareigo-    jimams vykdyti</t>
  </si>
  <si>
    <t>70.</t>
  </si>
  <si>
    <t>101.</t>
  </si>
  <si>
    <t xml:space="preserve"> 6 priedas</t>
  </si>
  <si>
    <t>Iš viso pajamų su likučiu:</t>
  </si>
  <si>
    <t xml:space="preserve">valstybi-      nėms funkcijoms          </t>
  </si>
  <si>
    <t>biudžetinių įstaigų pajamos</t>
  </si>
  <si>
    <t>8 priedas</t>
  </si>
  <si>
    <t>Religinių bendruomenių rėmimas</t>
  </si>
  <si>
    <t>Nevyriausybinių organizacijų rėmimo programa</t>
  </si>
  <si>
    <t>Nevyriausybinių organizacijų socialinės veiklos rėmimo programa</t>
  </si>
  <si>
    <t>Verslo rėmimo programa</t>
  </si>
  <si>
    <t xml:space="preserve">Veisiejų gimnazija </t>
  </si>
  <si>
    <t>telkinius</t>
  </si>
  <si>
    <t>redakcija)</t>
  </si>
  <si>
    <t>Savivaldybės administracijos Finansų sk.</t>
  </si>
  <si>
    <t>Bendri asignavi         mai</t>
  </si>
  <si>
    <t>Lazdijų savivaldybės viešoji biblioteka</t>
  </si>
  <si>
    <t>18.1.</t>
  </si>
  <si>
    <t>2.1.3.</t>
  </si>
  <si>
    <t>Skolintos lėšos</t>
  </si>
  <si>
    <t>2.3.</t>
  </si>
  <si>
    <t>IŠ VISO</t>
  </si>
  <si>
    <t>IŠ VISO SAVIVALDYBĖS BIUDŽETO PAJAMŲ</t>
  </si>
  <si>
    <t>iš jų: mero fondas</t>
  </si>
  <si>
    <t>Vaikų teisių apsauga</t>
  </si>
  <si>
    <t>Jaunimo teisių apsauga</t>
  </si>
  <si>
    <t>Gabių vaikų rėmimo programa</t>
  </si>
  <si>
    <t>Socialinė parama mokiniams, iš jų:</t>
  </si>
  <si>
    <t>VšĮ Kultūros centro pastato rekonstrukcija (VIP)</t>
  </si>
  <si>
    <t>17.1.</t>
  </si>
  <si>
    <t>17.2.</t>
  </si>
  <si>
    <t>17.3.</t>
  </si>
  <si>
    <t>35.1.</t>
  </si>
  <si>
    <t>Valst. žemės ir kt. valstybinio turto valdymas, naudojimas ir disponavimas patikėjimo teise</t>
  </si>
  <si>
    <t>1. Maudyklų vandens kokybės stebėsenos programos vykdymui</t>
  </si>
  <si>
    <t>2.4.</t>
  </si>
  <si>
    <t>Kitos dotacijos ir lėšos iš kitų valdymo lygių</t>
  </si>
  <si>
    <t>Iš kitų savivaldybių gautos mokinio krepšelio lėšos</t>
  </si>
  <si>
    <t>Lazdijų mokykla-darželis „Kregždutė“</t>
  </si>
  <si>
    <t>Lazdijų mokykla-darželis „Vyturėlis“</t>
  </si>
  <si>
    <t>Seirijų lopšelis-darželis „Žibutė“</t>
  </si>
  <si>
    <t>Veisiejų lopšelis-darželis „Ąžuoliukas“</t>
  </si>
  <si>
    <t>Aštriosios Kirsnos mokykla</t>
  </si>
  <si>
    <t>Būdviečio mokykla</t>
  </si>
  <si>
    <t>Kapčiamiesčio Emilijos Pliaterytės mokykla</t>
  </si>
  <si>
    <t>Krosnos mokykla</t>
  </si>
  <si>
    <t>Kučiūnų mokykla</t>
  </si>
  <si>
    <t>Stebulių mokykla</t>
  </si>
  <si>
    <t>Šeštokų mokykla</t>
  </si>
  <si>
    <t>Šventežerio mokykla</t>
  </si>
  <si>
    <t>Lazdijų Motiejaus Gustaičio gimnazija</t>
  </si>
  <si>
    <t>Seirijų Antano Žmuidzinavičiaus gimnazija</t>
  </si>
  <si>
    <t xml:space="preserve">                                                                                                                              Iš viso </t>
  </si>
  <si>
    <t xml:space="preserve">                                                                                                                     (Lt)</t>
  </si>
  <si>
    <t xml:space="preserve">7. </t>
  </si>
  <si>
    <t xml:space="preserve">ASIGNAVIMAI VALSTYBINĖMS (VALSTYBĖS PERDUOTOMS SAVIVALDYBĖMS) FUNKCIJOMS VYKDYTI, </t>
  </si>
  <si>
    <t>Specialiųjų ugdymosi poreikių mokiniams</t>
  </si>
  <si>
    <t xml:space="preserve">(2013 m.             d. sprendimo Nr. </t>
  </si>
  <si>
    <t>7 priedas</t>
  </si>
  <si>
    <t>bendrosios dotacijos kompensa-cija</t>
  </si>
  <si>
    <t>iš jų: Alytaus regiono atliekų tvarkymo centras</t>
  </si>
  <si>
    <t>Meno kolektyvų populiarinimo programa</t>
  </si>
  <si>
    <t>SPECIALIŲJŲ UGDYMOSI POREIKIŲ MOKINIAMS IR VALSTYBĖS INVESTICIJŲ PROGRAMOS PROJEKTAMS FINANSUOTI</t>
  </si>
  <si>
    <t>Turto įsigijimui</t>
  </si>
  <si>
    <t>Finansinių įsipareigojimų vykdymas</t>
  </si>
  <si>
    <t xml:space="preserve">2 priedas  </t>
  </si>
  <si>
    <t>VšĮ Lazdijų ligoninės infrastruktūros modernizavimas</t>
  </si>
  <si>
    <t>Visuomenės sveikatos priežiūra, stiprinimas, stebėsena</t>
  </si>
  <si>
    <t xml:space="preserve">     2014 METŲ LAZDIJŲ RAJONO SAVIVALDYBĖS BIUDŽETO SPECIALIOSIOS TIKSLINĖS DOTACIJOS</t>
  </si>
  <si>
    <t>Bendruomenių iniciatyvų rėmimas</t>
  </si>
  <si>
    <t xml:space="preserve">                        2014 METŲ LAZDIJŲ RAJONO SAVIVALDYBĖS BIUDŽETO ASIGNAVIMAI</t>
  </si>
  <si>
    <t>3 priedas</t>
  </si>
  <si>
    <t>VšĮ Lazdijų švietimo centrui</t>
  </si>
  <si>
    <t xml:space="preserve">2014 METŲ LAZDIJŲ RAJONO SAVIVALDYBĖS BIUDŽETO PAJAMOS </t>
  </si>
  <si>
    <t xml:space="preserve"> 2014 METŲ LAZDIJŲ RAJONO SAVIVALDYBĖS BIUDŽETO ASIGNAVIMAI</t>
  </si>
  <si>
    <t>2014 METŲ LAZDIJŲ RAJONO SAVIVALDYBĖS BIUDŽETO ASIGNAVIMAI</t>
  </si>
  <si>
    <t>Iš viso mokesčių, dotacijų ir kitų pajamų</t>
  </si>
  <si>
    <t>Metų pradžios lėšų likučiai</t>
  </si>
  <si>
    <t xml:space="preserve">9. </t>
  </si>
  <si>
    <t>2014 METŲ LAZDIJŲ RAJONO SAVIVALDYBĖS BIUDŽETINIŲ ĮSTAIGŲ PAJAMOS</t>
  </si>
  <si>
    <t xml:space="preserve">     Investiciniams projektams finansuoti</t>
  </si>
  <si>
    <t>235590       168384</t>
  </si>
  <si>
    <t xml:space="preserve">1. Savivaldybės želdynų ir želdinių apsaugai ir tvarkymui </t>
  </si>
  <si>
    <t>2. Medžių (krūmų) sodinukų įsigijimui ir veisimui rajono savivaldybės teritorijoje</t>
  </si>
  <si>
    <t>1. Metelių RP gamtos mokyklos-lankytojų centro veiklai, gamtinių takų atnaujinimui, visuomenei skirtų teritorijų priežiūrai, invazinių augalų rūšių kontrolei ir naikinimui</t>
  </si>
  <si>
    <t>2. Veisiejų RP kultūros paveldo ir rekreacinių teritorijų priežiūrai, Veisiejų dvaro parko tyrimų atlikimui</t>
  </si>
  <si>
    <t>2. Poveikio požeminiam vandeniui monitoringo atlikimui</t>
  </si>
  <si>
    <t>1. Vilkų ūkiniams gyvūnams padarytos žalos atlyginimas</t>
  </si>
  <si>
    <t>3. Žemės sklypų, kuriuose  medžioklė   nėra uždrausta, savininkų, valdytojų ir naudotojų įgyvendinamų priemonių finansavimui</t>
  </si>
  <si>
    <t>1. Lazdijų r. Kučiūnų mokyklos aplinkosaugos projektui ,,Žalioji lauko klasė" finansuoti</t>
  </si>
  <si>
    <t>2. Aplinkosauginių renginių organizavimui</t>
  </si>
  <si>
    <t>3. Visuomenės aplinkosauginio informavimo ir švietimo priemonių vykdymui</t>
  </si>
  <si>
    <t xml:space="preserve">2014 METŲ LAZDIJŲ RAJONO SAVIVALDYBĖS APLINKOS APSAUGOS RĖMIMO </t>
  </si>
  <si>
    <t>Dainų šventės programa</t>
  </si>
  <si>
    <t>Socialinės paramos skyriaus išlaikymas</t>
  </si>
  <si>
    <t xml:space="preserve">Programos lėšų likutis 2013 m. gruodžio 31 d.                                                                              iš jų: medžioklės plotų naudotojų mokesčių      </t>
  </si>
  <si>
    <t>Lėšų likutis         2013 m. gruodžio 31 d.</t>
  </si>
  <si>
    <t>Iš viso  pajamos su likučiais</t>
  </si>
  <si>
    <t>PASKIRSTYMAS ĮSISKOLINIMAMS DENGTI</t>
  </si>
  <si>
    <t xml:space="preserve">Asignavimų valdytojas, lėšų šaltinis, paskirtis                                                                      </t>
  </si>
  <si>
    <t>Turtui įsigyti</t>
  </si>
  <si>
    <t>Savivaldybės biudžeto lėšos</t>
  </si>
  <si>
    <t xml:space="preserve">1.1.1. </t>
  </si>
  <si>
    <t>1.1.2.</t>
  </si>
  <si>
    <t>1.1.3.</t>
  </si>
  <si>
    <t>1.1.4.</t>
  </si>
  <si>
    <t>1.1.5.</t>
  </si>
  <si>
    <t>1.2.1.</t>
  </si>
  <si>
    <t>Miško sklypų, kuriuose medžioklė nėra uždrausta, savininkų, valdytojų ir naudotojų rėmimui</t>
  </si>
  <si>
    <t>1.2.2.</t>
  </si>
  <si>
    <t>Savivaldybės visuomenės sveikatos rėmimo specialiosios programos vykdymui</t>
  </si>
  <si>
    <t>1.2.3.</t>
  </si>
  <si>
    <t>Kitos aplinkosaugos priemonių grupės</t>
  </si>
  <si>
    <t>Biudžetinių įstaigų pajamos</t>
  </si>
  <si>
    <t>5.2.</t>
  </si>
  <si>
    <t>5.2.1.</t>
  </si>
  <si>
    <t>14.1.</t>
  </si>
  <si>
    <t>14.1.1.</t>
  </si>
  <si>
    <t xml:space="preserve">2013 METŲ LAZDIJŲ RAJONO SAVIVALDYBĖS NEPANAUDOTŲ BIUDŽETO LĖŠŲ   </t>
  </si>
  <si>
    <t>IŠ VISO:</t>
  </si>
  <si>
    <t>Slaugos lovų išlaikymas</t>
  </si>
  <si>
    <t xml:space="preserve">Slaugos lovų išlaikymas </t>
  </si>
  <si>
    <t>105.</t>
  </si>
  <si>
    <t>Socialinės pagalbos teikimas namuose</t>
  </si>
  <si>
    <t>Kultūros centro pastato rekonstrukcija (VIP)</t>
  </si>
  <si>
    <t>Bendrasis ugdymas</t>
  </si>
  <si>
    <t>106.</t>
  </si>
  <si>
    <t>5. Bešeimininkių padangų atliekų transportavimo išlaidoms padengti</t>
  </si>
  <si>
    <t>6. Projekto ,,Baltajo ežero dalies išvalymas ir tvarkymas" monitoringo programos finansavimui</t>
  </si>
  <si>
    <t xml:space="preserve">(2014 m. balandžio        d. sprendimo Nr. </t>
  </si>
  <si>
    <t xml:space="preserve">                                   2014 m. vasario 28 d. sprendimo Nr. 5TS-1011</t>
  </si>
  <si>
    <t xml:space="preserve">                                  Lazdijų rajono savivaldybės tarybos</t>
  </si>
  <si>
    <t xml:space="preserve">       9 priedas</t>
  </si>
  <si>
    <t>Alytaus apskrities priešgaisrinės gelbėjimo valdybos Lazdijų priešgaisrinė gelbėjimo tarnyba</t>
  </si>
  <si>
    <t>15.1.</t>
  </si>
  <si>
    <t>Priešgaisrinių tarnybų organizavimas, iš jų:</t>
  </si>
  <si>
    <t>Pastato modernizavimas</t>
  </si>
  <si>
    <t>3. Lazdijų miesto Nepriklausomybės aikštės takų apšvietimo šviestuvų rekonstrukcijai</t>
  </si>
  <si>
    <t>4. Nuotekų ir lietaus surinkimo sistemų eksploatavimo, remonto ir rekonstravimo išlaidoms finansuoti</t>
  </si>
  <si>
    <t>7. Sąvartyno, esančio Varnėnų kaime, likvdavimo darbų finansavimui</t>
  </si>
  <si>
    <t>8. Pakuočių ir stiklo atliekų surinkimo konteinerių švietimo įstaigoms ir civilinėms kapinėms pirkimas</t>
  </si>
  <si>
    <t>Iš viso išlaidų</t>
  </si>
  <si>
    <t xml:space="preserve">IV. Gyventojų sveikatos apsaugai                      </t>
  </si>
  <si>
    <t>2.Bebraviečių ardymo valstybei nuosavybės teise priklausančiuose magistraliniuose melioracijos grioviuose darbų finansavimui</t>
  </si>
  <si>
    <t xml:space="preserve">                                                          Lazdijų rajono savivaldybės tarybos</t>
  </si>
  <si>
    <t xml:space="preserve">                                                          2014 m. vasario 28  d. sprendimo Nr. TS-1011</t>
  </si>
  <si>
    <t xml:space="preserve">                                                          4 priedas</t>
  </si>
  <si>
    <t>22.1.</t>
  </si>
  <si>
    <t>107.</t>
  </si>
  <si>
    <t>VšĮ Lazdijų sporto centras</t>
  </si>
  <si>
    <t>108.</t>
  </si>
  <si>
    <t>Socialinio būsto fondo plėtojimas</t>
  </si>
  <si>
    <t xml:space="preserve">VšĮ Lazdijų kultūros centras </t>
  </si>
  <si>
    <t xml:space="preserve">19.1. </t>
  </si>
  <si>
    <t xml:space="preserve">                                iš jų: Veisiejų technologijos ir verslo mokykla</t>
  </si>
  <si>
    <t xml:space="preserve">36.1. </t>
  </si>
  <si>
    <t xml:space="preserve">VšĮ Lazdijų socialinių paslaugų centras </t>
  </si>
  <si>
    <t>Priežiūra socialinės rizikos šeimoms, iš jų:</t>
  </si>
  <si>
    <t>2014 m. vasario 28  d. sprendimo Nr. 5TS-1011</t>
  </si>
  <si>
    <t>2014 m. vasario 28  d. sprendimo Nr.5TS-1011</t>
  </si>
  <si>
    <t>12.1.</t>
  </si>
  <si>
    <t>iš jų: darbo užmokesčiui</t>
  </si>
  <si>
    <t xml:space="preserve">                                                           redakcija)</t>
  </si>
  <si>
    <t>(2014 m. gruodžio        d. sprendimo Nr.  5TS-</t>
  </si>
  <si>
    <t>(2014 m.gruodžio        d. sprendimo Nr.  5TS-</t>
  </si>
  <si>
    <t xml:space="preserve">                                                          (2014 m. gruodžio        d. sprendimo Nr.  5TS-</t>
  </si>
  <si>
    <t>(2014 m. gruodžio          d. sprendimo Nr.  5TS-</t>
  </si>
  <si>
    <t>15</t>
  </si>
  <si>
    <t>(2014 m. lapkričio 13 d. sprendimo Nr.  5TS-1314</t>
  </si>
  <si>
    <t>(2014 m. gruodžio 17  d. sprendimo Nr.  5TS-1366</t>
  </si>
  <si>
    <t>(2014 m. gruodžio 17 d. sprendimo Nr.  5TS-1366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</si>
</sst>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186"/>
    </font>
    <font>
      <sz val="13"/>
      <name val="Times New Roman"/>
      <family val="1"/>
      <charset val="186"/>
    </font>
    <font>
      <b/>
      <sz val="13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b/>
      <sz val="12"/>
      <name val="Times New Roman"/>
      <family val="1"/>
    </font>
    <font>
      <sz val="12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0" fontId="11" fillId="0" borderId="0"/>
  </cellStyleXfs>
  <cellXfs count="303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/>
    <xf numFmtId="0" fontId="3" fillId="0" borderId="2" xfId="0" applyFont="1" applyFill="1" applyBorder="1"/>
    <xf numFmtId="0" fontId="4" fillId="0" borderId="2" xfId="0" applyFont="1" applyBorder="1"/>
    <xf numFmtId="0" fontId="3" fillId="0" borderId="3" xfId="0" applyFont="1" applyBorder="1"/>
    <xf numFmtId="0" fontId="3" fillId="0" borderId="2" xfId="0" applyFont="1" applyBorder="1" applyAlignment="1">
      <alignment horizontal="left"/>
    </xf>
    <xf numFmtId="0" fontId="3" fillId="0" borderId="4" xfId="0" applyFont="1" applyFill="1" applyBorder="1"/>
    <xf numFmtId="0" fontId="3" fillId="0" borderId="5" xfId="0" applyFont="1" applyBorder="1"/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/>
    </xf>
    <xf numFmtId="0" fontId="3" fillId="0" borderId="0" xfId="0" applyFont="1" applyBorder="1"/>
    <xf numFmtId="0" fontId="3" fillId="0" borderId="7" xfId="0" applyFont="1" applyBorder="1"/>
    <xf numFmtId="0" fontId="3" fillId="0" borderId="1" xfId="0" applyFont="1" applyFill="1" applyBorder="1"/>
    <xf numFmtId="0" fontId="3" fillId="0" borderId="0" xfId="0" applyFont="1"/>
    <xf numFmtId="0" fontId="3" fillId="0" borderId="8" xfId="0" applyFont="1" applyBorder="1"/>
    <xf numFmtId="0" fontId="4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7" fillId="0" borderId="0" xfId="0" applyFont="1"/>
    <xf numFmtId="0" fontId="4" fillId="0" borderId="0" xfId="0" applyFont="1" applyAlignment="1"/>
    <xf numFmtId="49" fontId="3" fillId="0" borderId="4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0" borderId="11" xfId="0" applyFont="1" applyFill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right" vertical="top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10" fillId="0" borderId="0" xfId="0" applyFont="1"/>
    <xf numFmtId="0" fontId="3" fillId="0" borderId="2" xfId="0" applyFont="1" applyFill="1" applyBorder="1" applyAlignment="1">
      <alignment horizontal="center"/>
    </xf>
    <xf numFmtId="0" fontId="3" fillId="2" borderId="0" xfId="0" applyFont="1" applyFill="1"/>
    <xf numFmtId="0" fontId="3" fillId="3" borderId="2" xfId="0" applyFont="1" applyFill="1" applyBorder="1"/>
    <xf numFmtId="0" fontId="3" fillId="3" borderId="2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right" vertical="center"/>
    </xf>
    <xf numFmtId="0" fontId="3" fillId="0" borderId="9" xfId="0" applyFont="1" applyFill="1" applyBorder="1"/>
    <xf numFmtId="0" fontId="3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1" fillId="0" borderId="0" xfId="0" applyFont="1" applyFill="1"/>
    <xf numFmtId="0" fontId="4" fillId="0" borderId="0" xfId="0" applyFont="1" applyFill="1" applyAlignment="1"/>
    <xf numFmtId="0" fontId="3" fillId="0" borderId="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3" xfId="0" applyFont="1" applyFill="1" applyBorder="1"/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/>
    <xf numFmtId="0" fontId="3" fillId="0" borderId="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3" fillId="0" borderId="5" xfId="0" applyFont="1" applyFill="1" applyBorder="1"/>
    <xf numFmtId="0" fontId="3" fillId="0" borderId="1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4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wrapText="1"/>
    </xf>
    <xf numFmtId="17" fontId="3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8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3" fillId="0" borderId="13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wrapText="1"/>
    </xf>
    <xf numFmtId="0" fontId="6" fillId="0" borderId="2" xfId="0" applyFont="1" applyFill="1" applyBorder="1"/>
    <xf numFmtId="17" fontId="1" fillId="0" borderId="2" xfId="0" applyNumberFormat="1" applyFont="1" applyFill="1" applyBorder="1" applyAlignment="1">
      <alignment horizontal="center"/>
    </xf>
    <xf numFmtId="0" fontId="1" fillId="0" borderId="9" xfId="0" applyFont="1" applyFill="1" applyBorder="1"/>
    <xf numFmtId="0" fontId="5" fillId="0" borderId="11" xfId="0" applyFont="1" applyFill="1" applyBorder="1"/>
    <xf numFmtId="0" fontId="5" fillId="0" borderId="2" xfId="0" applyFont="1" applyFill="1" applyBorder="1"/>
    <xf numFmtId="0" fontId="3" fillId="0" borderId="0" xfId="0" applyFont="1" applyFill="1" applyAlignment="1"/>
    <xf numFmtId="0" fontId="3" fillId="0" borderId="15" xfId="0" applyFont="1" applyFill="1" applyBorder="1" applyAlignment="1">
      <alignment horizontal="center"/>
    </xf>
    <xf numFmtId="2" fontId="3" fillId="0" borderId="0" xfId="0" applyNumberFormat="1" applyFont="1" applyFill="1"/>
    <xf numFmtId="14" fontId="3" fillId="0" borderId="0" xfId="0" applyNumberFormat="1" applyFont="1" applyFill="1"/>
    <xf numFmtId="0" fontId="3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center"/>
    </xf>
    <xf numFmtId="0" fontId="4" fillId="0" borderId="9" xfId="0" applyFont="1" applyFill="1" applyBorder="1"/>
    <xf numFmtId="0" fontId="4" fillId="0" borderId="1" xfId="0" applyFont="1" applyFill="1" applyBorder="1"/>
    <xf numFmtId="0" fontId="5" fillId="0" borderId="10" xfId="0" applyFont="1" applyFill="1" applyBorder="1"/>
    <xf numFmtId="0" fontId="5" fillId="0" borderId="1" xfId="0" applyFont="1" applyFill="1" applyBorder="1"/>
    <xf numFmtId="0" fontId="1" fillId="0" borderId="18" xfId="0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4" xfId="0" applyFont="1" applyFill="1" applyBorder="1" applyAlignment="1">
      <alignment horizontal="left" vertical="center" wrapText="1"/>
    </xf>
    <xf numFmtId="0" fontId="5" fillId="0" borderId="9" xfId="0" applyFont="1" applyFill="1" applyBorder="1"/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3" fillId="0" borderId="18" xfId="0" applyFont="1" applyFill="1" applyBorder="1"/>
    <xf numFmtId="0" fontId="3" fillId="0" borderId="10" xfId="0" applyFont="1" applyFill="1" applyBorder="1" applyAlignment="1">
      <alignment horizontal="left"/>
    </xf>
    <xf numFmtId="0" fontId="0" fillId="0" borderId="0" xfId="0" applyFill="1"/>
    <xf numFmtId="0" fontId="3" fillId="3" borderId="9" xfId="0" applyFont="1" applyFill="1" applyBorder="1"/>
    <xf numFmtId="0" fontId="3" fillId="3" borderId="11" xfId="0" applyFont="1" applyFill="1" applyBorder="1"/>
    <xf numFmtId="0" fontId="4" fillId="3" borderId="2" xfId="0" applyFont="1" applyFill="1" applyBorder="1"/>
    <xf numFmtId="0" fontId="1" fillId="3" borderId="2" xfId="0" applyFont="1" applyFill="1" applyBorder="1"/>
    <xf numFmtId="0" fontId="3" fillId="3" borderId="4" xfId="0" applyFont="1" applyFill="1" applyBorder="1"/>
    <xf numFmtId="1" fontId="3" fillId="3" borderId="2" xfId="0" applyNumberFormat="1" applyFont="1" applyFill="1" applyBorder="1"/>
    <xf numFmtId="0" fontId="1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5" fillId="3" borderId="9" xfId="0" applyFont="1" applyFill="1" applyBorder="1"/>
    <xf numFmtId="0" fontId="5" fillId="3" borderId="2" xfId="0" applyFont="1" applyFill="1" applyBorder="1"/>
    <xf numFmtId="0" fontId="3" fillId="3" borderId="4" xfId="0" applyFont="1" applyFill="1" applyBorder="1" applyAlignment="1">
      <alignment horizontal="left"/>
    </xf>
    <xf numFmtId="0" fontId="5" fillId="3" borderId="10" xfId="0" applyFont="1" applyFill="1" applyBorder="1"/>
    <xf numFmtId="0" fontId="5" fillId="3" borderId="1" xfId="0" applyFont="1" applyFill="1" applyBorder="1"/>
    <xf numFmtId="0" fontId="4" fillId="3" borderId="9" xfId="0" applyFont="1" applyFill="1" applyBorder="1"/>
    <xf numFmtId="0" fontId="3" fillId="3" borderId="1" xfId="0" applyFont="1" applyFill="1" applyBorder="1"/>
    <xf numFmtId="0" fontId="6" fillId="3" borderId="2" xfId="0" applyFont="1" applyFill="1" applyBorder="1"/>
    <xf numFmtId="0" fontId="4" fillId="3" borderId="2" xfId="0" applyFont="1" applyFill="1" applyBorder="1" applyAlignment="1">
      <alignment horizontal="center" wrapText="1"/>
    </xf>
    <xf numFmtId="0" fontId="4" fillId="3" borderId="18" xfId="0" applyFont="1" applyFill="1" applyBorder="1"/>
    <xf numFmtId="0" fontId="4" fillId="3" borderId="10" xfId="0" applyFont="1" applyFill="1" applyBorder="1"/>
    <xf numFmtId="1" fontId="4" fillId="3" borderId="2" xfId="0" applyNumberFormat="1" applyFont="1" applyFill="1" applyBorder="1"/>
    <xf numFmtId="0" fontId="0" fillId="3" borderId="0" xfId="0" applyFill="1"/>
    <xf numFmtId="0" fontId="6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11" xfId="0" applyFont="1" applyBorder="1"/>
    <xf numFmtId="17" fontId="1" fillId="0" borderId="2" xfId="0" applyNumberFormat="1" applyFont="1" applyBorder="1" applyAlignment="1">
      <alignment horizontal="center"/>
    </xf>
    <xf numFmtId="0" fontId="3" fillId="0" borderId="9" xfId="0" applyFont="1" applyBorder="1"/>
    <xf numFmtId="0" fontId="3" fillId="2" borderId="9" xfId="0" applyFont="1" applyFill="1" applyBorder="1" applyAlignment="1">
      <alignment horizontal="center"/>
    </xf>
    <xf numFmtId="0" fontId="3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top" wrapText="1" indent="1"/>
    </xf>
    <xf numFmtId="0" fontId="3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Border="1" applyAlignment="1"/>
    <xf numFmtId="0" fontId="11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2" xfId="0" applyBorder="1"/>
    <xf numFmtId="0" fontId="12" fillId="0" borderId="2" xfId="0" applyFont="1" applyBorder="1" applyAlignment="1">
      <alignment horizontal="right"/>
    </xf>
    <xf numFmtId="0" fontId="3" fillId="3" borderId="5" xfId="0" applyFont="1" applyFill="1" applyBorder="1"/>
    <xf numFmtId="1" fontId="3" fillId="3" borderId="2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/>
    </xf>
    <xf numFmtId="0" fontId="3" fillId="3" borderId="18" xfId="0" applyFont="1" applyFill="1" applyBorder="1"/>
    <xf numFmtId="0" fontId="1" fillId="3" borderId="1" xfId="0" applyFont="1" applyFill="1" applyBorder="1"/>
    <xf numFmtId="0" fontId="3" fillId="3" borderId="1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0" fontId="4" fillId="3" borderId="0" xfId="0" applyFont="1" applyFill="1"/>
    <xf numFmtId="0" fontId="3" fillId="3" borderId="1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2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/>
    </xf>
    <xf numFmtId="17" fontId="1" fillId="0" borderId="2" xfId="0" applyNumberFormat="1" applyFont="1" applyFill="1" applyBorder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/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3" borderId="2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4" fillId="0" borderId="8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/>
    </xf>
    <xf numFmtId="0" fontId="3" fillId="0" borderId="17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3" fillId="0" borderId="9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 wrapText="1"/>
    </xf>
  </cellXfs>
  <cellStyles count="2">
    <cellStyle name="Įprastas" xfId="0" builtinId="0"/>
    <cellStyle name="Įprastas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4"/>
  <sheetViews>
    <sheetView workbookViewId="0">
      <selection activeCell="L9" sqref="L9"/>
    </sheetView>
  </sheetViews>
  <sheetFormatPr defaultRowHeight="15.75" x14ac:dyDescent="0.25"/>
  <cols>
    <col min="1" max="1" width="7.5703125" style="16" customWidth="1"/>
    <col min="2" max="3" width="9.140625" style="16"/>
    <col min="4" max="4" width="10.140625" style="16" bestFit="1" customWidth="1"/>
    <col min="5" max="6" width="9.140625" style="16"/>
    <col min="7" max="7" width="26.42578125" style="16" customWidth="1"/>
    <col min="8" max="8" width="11.5703125" style="36" customWidth="1"/>
    <col min="9" max="9" width="9.140625" style="16" hidden="1" customWidth="1"/>
    <col min="10" max="10" width="10.140625" style="16" bestFit="1" customWidth="1"/>
    <col min="11" max="11" width="10.140625" style="16" customWidth="1"/>
    <col min="12" max="13" width="9.140625" style="16"/>
    <col min="14" max="14" width="11.5703125" style="16" bestFit="1" customWidth="1"/>
    <col min="15" max="16384" width="9.140625" style="16"/>
  </cols>
  <sheetData>
    <row r="1" spans="1:9" ht="15.75" customHeight="1" x14ac:dyDescent="0.25">
      <c r="F1" s="198" t="s">
        <v>80</v>
      </c>
      <c r="G1" s="198"/>
      <c r="H1" s="198"/>
    </row>
    <row r="2" spans="1:9" ht="15.75" customHeight="1" x14ac:dyDescent="0.25">
      <c r="F2" s="198" t="s">
        <v>488</v>
      </c>
      <c r="G2" s="198"/>
      <c r="H2" s="198"/>
      <c r="I2" s="198"/>
    </row>
    <row r="3" spans="1:9" ht="18" customHeight="1" x14ac:dyDescent="0.25">
      <c r="F3" s="198" t="s">
        <v>107</v>
      </c>
      <c r="G3" s="198"/>
    </row>
    <row r="4" spans="1:9" ht="16.5" customHeight="1" x14ac:dyDescent="0.25">
      <c r="F4" s="182" t="s">
        <v>500</v>
      </c>
      <c r="G4" s="182"/>
    </row>
    <row r="5" spans="1:9" ht="15.75" customHeight="1" x14ac:dyDescent="0.25">
      <c r="F5" s="1" t="s">
        <v>343</v>
      </c>
      <c r="G5" s="1"/>
      <c r="H5" s="1"/>
    </row>
    <row r="6" spans="1:9" ht="20.25" customHeight="1" x14ac:dyDescent="0.25">
      <c r="B6" s="200" t="s">
        <v>403</v>
      </c>
      <c r="C6" s="200"/>
      <c r="D6" s="200"/>
      <c r="E6" s="200"/>
      <c r="F6" s="200"/>
      <c r="G6" s="200"/>
      <c r="H6" s="200"/>
    </row>
    <row r="7" spans="1:9" ht="16.5" customHeight="1" x14ac:dyDescent="0.25">
      <c r="B7" s="203" t="s">
        <v>383</v>
      </c>
      <c r="C7" s="203"/>
      <c r="D7" s="203"/>
      <c r="E7" s="203"/>
      <c r="F7" s="203"/>
      <c r="G7" s="203"/>
      <c r="H7" s="203"/>
    </row>
    <row r="8" spans="1:9" ht="18" customHeight="1" x14ac:dyDescent="0.25">
      <c r="A8" s="4" t="s">
        <v>60</v>
      </c>
      <c r="B8" s="201" t="s">
        <v>7</v>
      </c>
      <c r="C8" s="201"/>
      <c r="D8" s="201"/>
      <c r="E8" s="201"/>
      <c r="F8" s="201"/>
      <c r="G8" s="201"/>
      <c r="H8" s="33" t="s">
        <v>81</v>
      </c>
    </row>
    <row r="9" spans="1:9" ht="18.75" customHeight="1" x14ac:dyDescent="0.25">
      <c r="A9" s="19" t="s">
        <v>37</v>
      </c>
      <c r="B9" s="204" t="s">
        <v>10</v>
      </c>
      <c r="C9" s="205"/>
      <c r="D9" s="205"/>
      <c r="E9" s="205"/>
      <c r="F9" s="205"/>
      <c r="G9" s="206"/>
      <c r="H9" s="18">
        <f>SUM(H10:H18)</f>
        <v>23903000</v>
      </c>
    </row>
    <row r="10" spans="1:9" ht="18" customHeight="1" x14ac:dyDescent="0.25">
      <c r="A10" s="19" t="s">
        <v>61</v>
      </c>
      <c r="B10" s="202" t="s">
        <v>9</v>
      </c>
      <c r="C10" s="202"/>
      <c r="D10" s="202"/>
      <c r="E10" s="202"/>
      <c r="F10" s="202"/>
      <c r="G10" s="202"/>
      <c r="H10" s="22">
        <v>9238000</v>
      </c>
    </row>
    <row r="11" spans="1:9" ht="31.5" customHeight="1" x14ac:dyDescent="0.25">
      <c r="A11" s="37" t="s">
        <v>62</v>
      </c>
      <c r="B11" s="207" t="s">
        <v>84</v>
      </c>
      <c r="C11" s="207"/>
      <c r="D11" s="207"/>
      <c r="E11" s="207"/>
      <c r="F11" s="207"/>
      <c r="G11" s="207"/>
      <c r="H11" s="38">
        <v>4442000</v>
      </c>
    </row>
    <row r="12" spans="1:9" ht="29.25" customHeight="1" x14ac:dyDescent="0.25">
      <c r="A12" s="37" t="s">
        <v>64</v>
      </c>
      <c r="B12" s="207" t="s">
        <v>85</v>
      </c>
      <c r="C12" s="207"/>
      <c r="D12" s="207"/>
      <c r="E12" s="207"/>
      <c r="F12" s="207"/>
      <c r="G12" s="207"/>
      <c r="H12" s="38">
        <v>7598000</v>
      </c>
    </row>
    <row r="13" spans="1:9" ht="18" customHeight="1" x14ac:dyDescent="0.25">
      <c r="A13" s="19" t="s">
        <v>87</v>
      </c>
      <c r="B13" s="202" t="s">
        <v>0</v>
      </c>
      <c r="C13" s="202"/>
      <c r="D13" s="202"/>
      <c r="E13" s="202"/>
      <c r="F13" s="202"/>
      <c r="G13" s="202"/>
      <c r="H13" s="4">
        <v>430000</v>
      </c>
    </row>
    <row r="14" spans="1:9" ht="18" customHeight="1" x14ac:dyDescent="0.25">
      <c r="A14" s="19" t="s">
        <v>88</v>
      </c>
      <c r="B14" s="202" t="s">
        <v>1</v>
      </c>
      <c r="C14" s="202"/>
      <c r="D14" s="202"/>
      <c r="E14" s="202"/>
      <c r="F14" s="202"/>
      <c r="G14" s="202"/>
      <c r="H14" s="4">
        <v>320000</v>
      </c>
    </row>
    <row r="15" spans="1:9" ht="18" customHeight="1" x14ac:dyDescent="0.25">
      <c r="A15" s="19" t="s">
        <v>89</v>
      </c>
      <c r="B15" s="202" t="s">
        <v>75</v>
      </c>
      <c r="C15" s="202"/>
      <c r="D15" s="202"/>
      <c r="E15" s="202"/>
      <c r="F15" s="202"/>
      <c r="G15" s="202"/>
      <c r="H15" s="4">
        <v>20000</v>
      </c>
    </row>
    <row r="16" spans="1:9" ht="18" customHeight="1" x14ac:dyDescent="0.25">
      <c r="A16" s="19" t="s">
        <v>90</v>
      </c>
      <c r="B16" s="199" t="s">
        <v>76</v>
      </c>
      <c r="C16" s="199"/>
      <c r="D16" s="199"/>
      <c r="E16" s="199"/>
      <c r="F16" s="199"/>
      <c r="G16" s="199"/>
      <c r="H16" s="22">
        <v>50000</v>
      </c>
    </row>
    <row r="17" spans="1:8" ht="18" customHeight="1" x14ac:dyDescent="0.25">
      <c r="A17" s="19" t="s">
        <v>91</v>
      </c>
      <c r="B17" s="199" t="s">
        <v>3</v>
      </c>
      <c r="C17" s="199"/>
      <c r="D17" s="199"/>
      <c r="E17" s="199"/>
      <c r="F17" s="199"/>
      <c r="G17" s="199"/>
      <c r="H17" s="22">
        <v>90000</v>
      </c>
    </row>
    <row r="18" spans="1:8" ht="18.75" customHeight="1" x14ac:dyDescent="0.25">
      <c r="A18" s="19" t="s">
        <v>92</v>
      </c>
      <c r="B18" s="199" t="s">
        <v>110</v>
      </c>
      <c r="C18" s="199"/>
      <c r="D18" s="199"/>
      <c r="E18" s="199"/>
      <c r="F18" s="199"/>
      <c r="G18" s="199"/>
      <c r="H18" s="22">
        <v>1715000</v>
      </c>
    </row>
    <row r="19" spans="1:8" ht="18" customHeight="1" x14ac:dyDescent="0.25">
      <c r="A19" s="19" t="s">
        <v>111</v>
      </c>
      <c r="B19" s="199" t="s">
        <v>112</v>
      </c>
      <c r="C19" s="199"/>
      <c r="D19" s="199"/>
      <c r="E19" s="199"/>
      <c r="F19" s="199"/>
      <c r="G19" s="199"/>
      <c r="H19" s="22">
        <v>1700000</v>
      </c>
    </row>
    <row r="20" spans="1:8" ht="18" customHeight="1" x14ac:dyDescent="0.25">
      <c r="A20" s="19" t="s">
        <v>38</v>
      </c>
      <c r="B20" s="204" t="s">
        <v>11</v>
      </c>
      <c r="C20" s="205"/>
      <c r="D20" s="205"/>
      <c r="E20" s="205"/>
      <c r="F20" s="205"/>
      <c r="G20" s="206"/>
      <c r="H20" s="18">
        <f>SUM(H22:H27)</f>
        <v>41345969</v>
      </c>
    </row>
    <row r="21" spans="1:8" ht="18" customHeight="1" x14ac:dyDescent="0.25">
      <c r="A21" s="19" t="s">
        <v>63</v>
      </c>
      <c r="B21" s="199" t="s">
        <v>86</v>
      </c>
      <c r="C21" s="199"/>
      <c r="D21" s="199"/>
      <c r="E21" s="199"/>
      <c r="F21" s="199"/>
      <c r="G21" s="199"/>
      <c r="H21" s="22">
        <f>SUM(H22:H24)</f>
        <v>23071786</v>
      </c>
    </row>
    <row r="22" spans="1:8" ht="18" customHeight="1" x14ac:dyDescent="0.25">
      <c r="A22" s="19" t="s">
        <v>93</v>
      </c>
      <c r="B22" s="199" t="s">
        <v>36</v>
      </c>
      <c r="C22" s="199"/>
      <c r="D22" s="199"/>
      <c r="E22" s="199"/>
      <c r="F22" s="199"/>
      <c r="G22" s="199"/>
      <c r="H22" s="22">
        <v>7014786</v>
      </c>
    </row>
    <row r="23" spans="1:8" ht="18" customHeight="1" x14ac:dyDescent="0.25">
      <c r="A23" s="19" t="s">
        <v>94</v>
      </c>
      <c r="B23" s="199" t="s">
        <v>77</v>
      </c>
      <c r="C23" s="199"/>
      <c r="D23" s="199"/>
      <c r="E23" s="199"/>
      <c r="F23" s="199"/>
      <c r="G23" s="199"/>
      <c r="H23" s="46">
        <v>13804000</v>
      </c>
    </row>
    <row r="24" spans="1:8" ht="18" customHeight="1" x14ac:dyDescent="0.25">
      <c r="A24" s="19" t="s">
        <v>348</v>
      </c>
      <c r="B24" s="208" t="s">
        <v>410</v>
      </c>
      <c r="C24" s="209"/>
      <c r="D24" s="209"/>
      <c r="E24" s="209"/>
      <c r="F24" s="209"/>
      <c r="G24" s="210"/>
      <c r="H24" s="46">
        <v>2253000</v>
      </c>
    </row>
    <row r="25" spans="1:8" ht="18" customHeight="1" x14ac:dyDescent="0.25">
      <c r="A25" s="19" t="s">
        <v>65</v>
      </c>
      <c r="B25" s="208" t="s">
        <v>319</v>
      </c>
      <c r="C25" s="209"/>
      <c r="D25" s="209"/>
      <c r="E25" s="209"/>
      <c r="F25" s="209"/>
      <c r="G25" s="210"/>
      <c r="H25" s="22">
        <v>7566000</v>
      </c>
    </row>
    <row r="26" spans="1:8" ht="18" customHeight="1" x14ac:dyDescent="0.25">
      <c r="A26" s="19" t="s">
        <v>350</v>
      </c>
      <c r="B26" s="208" t="s">
        <v>328</v>
      </c>
      <c r="C26" s="209"/>
      <c r="D26" s="209"/>
      <c r="E26" s="209"/>
      <c r="F26" s="209"/>
      <c r="G26" s="210"/>
      <c r="H26" s="142">
        <v>10701163</v>
      </c>
    </row>
    <row r="27" spans="1:8" ht="18" customHeight="1" x14ac:dyDescent="0.25">
      <c r="A27" s="19" t="s">
        <v>365</v>
      </c>
      <c r="B27" s="208" t="s">
        <v>366</v>
      </c>
      <c r="C27" s="209"/>
      <c r="D27" s="209"/>
      <c r="E27" s="209"/>
      <c r="F27" s="209"/>
      <c r="G27" s="210"/>
      <c r="H27" s="47">
        <v>7020</v>
      </c>
    </row>
    <row r="28" spans="1:8" ht="18.75" customHeight="1" x14ac:dyDescent="0.25">
      <c r="A28" s="19" t="s">
        <v>39</v>
      </c>
      <c r="B28" s="204" t="s">
        <v>21</v>
      </c>
      <c r="C28" s="205"/>
      <c r="D28" s="205"/>
      <c r="E28" s="205"/>
      <c r="F28" s="205"/>
      <c r="G28" s="206"/>
      <c r="H28" s="18">
        <f>SUM(H29:H37)</f>
        <v>857390</v>
      </c>
    </row>
    <row r="29" spans="1:8" ht="17.25" customHeight="1" x14ac:dyDescent="0.25">
      <c r="A29" s="21" t="s">
        <v>68</v>
      </c>
      <c r="B29" s="231" t="s">
        <v>32</v>
      </c>
      <c r="C29" s="231"/>
      <c r="D29" s="231"/>
      <c r="E29" s="231"/>
      <c r="F29" s="231"/>
      <c r="G29" s="232"/>
      <c r="H29" s="4">
        <v>20000</v>
      </c>
    </row>
    <row r="30" spans="1:8" ht="15.75" customHeight="1" x14ac:dyDescent="0.25">
      <c r="A30" s="39" t="s">
        <v>66</v>
      </c>
      <c r="B30" s="226" t="s">
        <v>33</v>
      </c>
      <c r="C30" s="227"/>
      <c r="D30" s="227"/>
      <c r="E30" s="227"/>
      <c r="F30" s="227"/>
      <c r="G30" s="227"/>
      <c r="H30" s="224">
        <v>180000</v>
      </c>
    </row>
    <row r="31" spans="1:8" ht="15.75" customHeight="1" x14ac:dyDescent="0.25">
      <c r="A31" s="40"/>
      <c r="B31" s="228" t="s">
        <v>342</v>
      </c>
      <c r="C31" s="229"/>
      <c r="D31" s="229"/>
      <c r="E31" s="229"/>
      <c r="F31" s="229"/>
      <c r="G31" s="229"/>
      <c r="H31" s="225"/>
    </row>
    <row r="32" spans="1:8" ht="16.5" customHeight="1" x14ac:dyDescent="0.25">
      <c r="A32" s="20" t="s">
        <v>67</v>
      </c>
      <c r="B32" s="215" t="s">
        <v>78</v>
      </c>
      <c r="C32" s="215"/>
      <c r="D32" s="215"/>
      <c r="E32" s="215"/>
      <c r="F32" s="215"/>
      <c r="G32" s="216"/>
      <c r="H32" s="22">
        <v>60000</v>
      </c>
    </row>
    <row r="33" spans="1:12" ht="16.5" customHeight="1" x14ac:dyDescent="0.25">
      <c r="A33" s="19" t="s">
        <v>95</v>
      </c>
      <c r="B33" s="199" t="s">
        <v>34</v>
      </c>
      <c r="C33" s="199"/>
      <c r="D33" s="199"/>
      <c r="E33" s="199"/>
      <c r="F33" s="199"/>
      <c r="G33" s="199"/>
      <c r="H33" s="142">
        <v>40000</v>
      </c>
    </row>
    <row r="34" spans="1:12" ht="16.5" customHeight="1" x14ac:dyDescent="0.25">
      <c r="A34" s="166" t="s">
        <v>96</v>
      </c>
      <c r="B34" s="230" t="s">
        <v>35</v>
      </c>
      <c r="C34" s="230"/>
      <c r="D34" s="230"/>
      <c r="E34" s="230"/>
      <c r="F34" s="230"/>
      <c r="G34" s="230"/>
      <c r="H34" s="47">
        <v>89000</v>
      </c>
    </row>
    <row r="35" spans="1:12" ht="16.5" customHeight="1" x14ac:dyDescent="0.25">
      <c r="A35" s="19" t="s">
        <v>97</v>
      </c>
      <c r="B35" s="199" t="s">
        <v>79</v>
      </c>
      <c r="C35" s="199"/>
      <c r="D35" s="199"/>
      <c r="E35" s="199"/>
      <c r="F35" s="199"/>
      <c r="G35" s="199"/>
      <c r="H35" s="142">
        <v>448390</v>
      </c>
    </row>
    <row r="36" spans="1:12" ht="16.5" customHeight="1" x14ac:dyDescent="0.25">
      <c r="A36" s="19" t="s">
        <v>98</v>
      </c>
      <c r="B36" s="199" t="s">
        <v>21</v>
      </c>
      <c r="C36" s="199"/>
      <c r="D36" s="199"/>
      <c r="E36" s="199"/>
      <c r="F36" s="199"/>
      <c r="G36" s="199"/>
      <c r="H36" s="142">
        <v>10000</v>
      </c>
    </row>
    <row r="37" spans="1:12" ht="19.5" customHeight="1" x14ac:dyDescent="0.25">
      <c r="A37" s="19" t="s">
        <v>99</v>
      </c>
      <c r="B37" s="199" t="s">
        <v>2</v>
      </c>
      <c r="C37" s="199"/>
      <c r="D37" s="199"/>
      <c r="E37" s="199"/>
      <c r="F37" s="199"/>
      <c r="G37" s="199"/>
      <c r="H37" s="142">
        <v>10000</v>
      </c>
    </row>
    <row r="38" spans="1:12" ht="19.5" customHeight="1" x14ac:dyDescent="0.25">
      <c r="A38" s="19" t="s">
        <v>40</v>
      </c>
      <c r="B38" s="214" t="s">
        <v>12</v>
      </c>
      <c r="C38" s="214"/>
      <c r="D38" s="214"/>
      <c r="E38" s="214"/>
      <c r="F38" s="214"/>
      <c r="G38" s="214"/>
      <c r="H38" s="143">
        <v>35000</v>
      </c>
      <c r="I38" s="41"/>
      <c r="J38" s="41"/>
      <c r="K38" s="41"/>
      <c r="L38" s="41"/>
    </row>
    <row r="39" spans="1:12" ht="18" customHeight="1" x14ac:dyDescent="0.25">
      <c r="A39" s="19" t="s">
        <v>41</v>
      </c>
      <c r="B39" s="204" t="s">
        <v>406</v>
      </c>
      <c r="C39" s="205"/>
      <c r="D39" s="205"/>
      <c r="E39" s="205"/>
      <c r="F39" s="205"/>
      <c r="G39" s="206"/>
      <c r="H39" s="143">
        <f>SUM(H9+H20+H28+H38)</f>
        <v>66141359</v>
      </c>
    </row>
    <row r="40" spans="1:12" ht="18.75" customHeight="1" x14ac:dyDescent="0.25">
      <c r="A40" s="19" t="s">
        <v>42</v>
      </c>
      <c r="B40" s="211" t="s">
        <v>407</v>
      </c>
      <c r="C40" s="212"/>
      <c r="D40" s="212"/>
      <c r="E40" s="212"/>
      <c r="F40" s="212"/>
      <c r="G40" s="213"/>
      <c r="H40" s="165">
        <v>695797</v>
      </c>
    </row>
    <row r="41" spans="1:12" ht="17.25" customHeight="1" x14ac:dyDescent="0.25">
      <c r="A41" s="19" t="s">
        <v>384</v>
      </c>
      <c r="B41" s="221" t="s">
        <v>351</v>
      </c>
      <c r="C41" s="222"/>
      <c r="D41" s="222"/>
      <c r="E41" s="222"/>
      <c r="F41" s="222"/>
      <c r="G41" s="223"/>
      <c r="H41" s="18">
        <f>SUM(H39:H40)</f>
        <v>66837156</v>
      </c>
    </row>
    <row r="42" spans="1:12" ht="18" hidden="1" customHeight="1" x14ac:dyDescent="0.25">
      <c r="A42" s="19" t="s">
        <v>44</v>
      </c>
      <c r="B42" s="211" t="s">
        <v>367</v>
      </c>
      <c r="C42" s="212"/>
      <c r="D42" s="212"/>
      <c r="E42" s="212"/>
      <c r="F42" s="212"/>
      <c r="G42" s="213"/>
      <c r="H42" s="46"/>
    </row>
    <row r="43" spans="1:12" ht="16.5" customHeight="1" x14ac:dyDescent="0.25">
      <c r="A43" s="166" t="s">
        <v>44</v>
      </c>
      <c r="B43" s="218" t="s">
        <v>349</v>
      </c>
      <c r="C43" s="219"/>
      <c r="D43" s="219"/>
      <c r="E43" s="219"/>
      <c r="F43" s="219"/>
      <c r="G43" s="220"/>
      <c r="H43" s="46">
        <v>3944254</v>
      </c>
    </row>
    <row r="44" spans="1:12" s="178" customFormat="1" ht="16.5" customHeight="1" x14ac:dyDescent="0.25">
      <c r="A44" s="166" t="s">
        <v>408</v>
      </c>
      <c r="B44" s="217" t="s">
        <v>352</v>
      </c>
      <c r="C44" s="217"/>
      <c r="D44" s="217"/>
      <c r="E44" s="217"/>
      <c r="F44" s="217"/>
      <c r="G44" s="217"/>
      <c r="H44" s="176">
        <f>SUM(H39:H40,H43,H42)</f>
        <v>70781410</v>
      </c>
    </row>
  </sheetData>
  <mergeCells count="43">
    <mergeCell ref="H30:H31"/>
    <mergeCell ref="B35:G35"/>
    <mergeCell ref="B27:G27"/>
    <mergeCell ref="B26:G26"/>
    <mergeCell ref="B10:G10"/>
    <mergeCell ref="B25:G25"/>
    <mergeCell ref="B30:G30"/>
    <mergeCell ref="B15:G15"/>
    <mergeCell ref="B31:G31"/>
    <mergeCell ref="B34:G34"/>
    <mergeCell ref="B22:G22"/>
    <mergeCell ref="B29:G29"/>
    <mergeCell ref="B23:G23"/>
    <mergeCell ref="B11:G11"/>
    <mergeCell ref="B33:G33"/>
    <mergeCell ref="B18:G18"/>
    <mergeCell ref="B44:G44"/>
    <mergeCell ref="B36:G36"/>
    <mergeCell ref="B43:G43"/>
    <mergeCell ref="B37:G37"/>
    <mergeCell ref="B42:G42"/>
    <mergeCell ref="B41:G41"/>
    <mergeCell ref="B28:G28"/>
    <mergeCell ref="B24:G24"/>
    <mergeCell ref="B40:G40"/>
    <mergeCell ref="B38:G38"/>
    <mergeCell ref="B39:G39"/>
    <mergeCell ref="B32:G32"/>
    <mergeCell ref="B19:G19"/>
    <mergeCell ref="B9:G9"/>
    <mergeCell ref="B21:G21"/>
    <mergeCell ref="B13:G13"/>
    <mergeCell ref="B12:G12"/>
    <mergeCell ref="B20:G20"/>
    <mergeCell ref="F1:H1"/>
    <mergeCell ref="F2:I2"/>
    <mergeCell ref="F3:G3"/>
    <mergeCell ref="B17:G17"/>
    <mergeCell ref="B6:H6"/>
    <mergeCell ref="B16:G16"/>
    <mergeCell ref="B8:G8"/>
    <mergeCell ref="B14:G14"/>
    <mergeCell ref="B7:H7"/>
  </mergeCells>
  <phoneticPr fontId="0" type="noConversion"/>
  <pageMargins left="0.55118110236220474" right="0.35433070866141736" top="0.59055118110236227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57"/>
  <sheetViews>
    <sheetView showZeros="0" tabSelected="1" workbookViewId="0">
      <selection activeCell="I20" sqref="I20"/>
    </sheetView>
  </sheetViews>
  <sheetFormatPr defaultRowHeight="12.75" x14ac:dyDescent="0.2"/>
  <cols>
    <col min="1" max="1" width="3.7109375" customWidth="1"/>
    <col min="2" max="2" width="41" customWidth="1"/>
    <col min="3" max="3" width="10.85546875" customWidth="1"/>
    <col min="4" max="4" width="10.5703125" customWidth="1"/>
    <col min="5" max="5" width="11.140625" customWidth="1"/>
    <col min="6" max="6" width="11.7109375" customWidth="1"/>
  </cols>
  <sheetData>
    <row r="1" spans="1:13" ht="17.25" customHeight="1" x14ac:dyDescent="0.25">
      <c r="A1" s="16"/>
      <c r="B1" s="16"/>
      <c r="C1" s="198" t="s">
        <v>80</v>
      </c>
      <c r="D1" s="198"/>
      <c r="E1" s="198"/>
      <c r="F1" s="16"/>
    </row>
    <row r="2" spans="1:13" ht="15.75" customHeight="1" x14ac:dyDescent="0.25">
      <c r="A2" s="16"/>
      <c r="B2" s="16"/>
      <c r="C2" s="198" t="s">
        <v>488</v>
      </c>
      <c r="D2" s="198"/>
      <c r="E2" s="198"/>
      <c r="F2" s="198"/>
    </row>
    <row r="3" spans="1:13" ht="15.75" customHeight="1" x14ac:dyDescent="0.25">
      <c r="A3" s="16"/>
      <c r="B3" s="16"/>
      <c r="C3" s="198" t="s">
        <v>395</v>
      </c>
      <c r="D3" s="198"/>
      <c r="E3" s="36"/>
      <c r="F3" s="16"/>
    </row>
    <row r="4" spans="1:13" ht="13.5" hidden="1" customHeight="1" x14ac:dyDescent="0.25">
      <c r="A4" s="16"/>
      <c r="B4" s="16"/>
      <c r="C4" s="182" t="s">
        <v>459</v>
      </c>
      <c r="D4" s="182"/>
      <c r="E4" s="36"/>
      <c r="F4" s="16"/>
    </row>
    <row r="5" spans="1:13" ht="14.25" hidden="1" customHeight="1" x14ac:dyDescent="0.25">
      <c r="A5" s="16"/>
      <c r="B5" s="16"/>
      <c r="C5" s="1" t="s">
        <v>343</v>
      </c>
      <c r="D5" s="1"/>
      <c r="E5" s="1"/>
      <c r="F5" s="16"/>
    </row>
    <row r="6" spans="1:13" ht="13.5" customHeight="1" x14ac:dyDescent="0.25">
      <c r="A6" s="16"/>
      <c r="B6" s="16"/>
      <c r="C6" s="196" t="s">
        <v>493</v>
      </c>
      <c r="D6" s="196"/>
      <c r="E6" s="36"/>
      <c r="F6" s="16"/>
    </row>
    <row r="7" spans="1:13" ht="13.5" customHeight="1" x14ac:dyDescent="0.25">
      <c r="A7" s="16"/>
      <c r="B7" s="16"/>
      <c r="C7" s="1" t="s">
        <v>343</v>
      </c>
      <c r="D7" s="1"/>
      <c r="E7" s="1"/>
      <c r="F7" s="16"/>
    </row>
    <row r="8" spans="1:13" ht="18" customHeight="1" x14ac:dyDescent="0.25">
      <c r="A8" s="200" t="s">
        <v>404</v>
      </c>
      <c r="B8" s="200"/>
      <c r="C8" s="200"/>
      <c r="D8" s="200"/>
      <c r="E8" s="200"/>
      <c r="F8" s="200"/>
    </row>
    <row r="9" spans="1:13" ht="17.25" customHeight="1" x14ac:dyDescent="0.25">
      <c r="A9" s="16"/>
      <c r="B9" s="200" t="s">
        <v>248</v>
      </c>
      <c r="C9" s="200"/>
      <c r="D9" s="200"/>
      <c r="E9" s="200"/>
      <c r="F9" s="200"/>
    </row>
    <row r="10" spans="1:13" ht="12.75" customHeight="1" x14ac:dyDescent="0.25">
      <c r="A10" s="16"/>
      <c r="B10" s="239" t="s">
        <v>124</v>
      </c>
      <c r="C10" s="239"/>
      <c r="D10" s="239"/>
      <c r="E10" s="239"/>
      <c r="F10" s="239"/>
    </row>
    <row r="11" spans="1:13" ht="13.5" customHeight="1" x14ac:dyDescent="0.2">
      <c r="A11" s="233" t="s">
        <v>60</v>
      </c>
      <c r="B11" s="233" t="s">
        <v>250</v>
      </c>
      <c r="C11" s="233" t="s">
        <v>126</v>
      </c>
      <c r="D11" s="236" t="s">
        <v>152</v>
      </c>
      <c r="E11" s="237"/>
      <c r="F11" s="238"/>
    </row>
    <row r="12" spans="1:13" ht="13.5" customHeight="1" x14ac:dyDescent="0.2">
      <c r="A12" s="234"/>
      <c r="B12" s="234"/>
      <c r="C12" s="234"/>
      <c r="D12" s="236" t="s">
        <v>108</v>
      </c>
      <c r="E12" s="238"/>
      <c r="F12" s="233" t="s">
        <v>329</v>
      </c>
    </row>
    <row r="13" spans="1:13" ht="12.75" customHeight="1" x14ac:dyDescent="0.2">
      <c r="A13" s="234"/>
      <c r="B13" s="234"/>
      <c r="C13" s="234"/>
      <c r="D13" s="233" t="s">
        <v>4</v>
      </c>
      <c r="E13" s="233" t="s">
        <v>109</v>
      </c>
      <c r="F13" s="234"/>
    </row>
    <row r="14" spans="1:13" ht="66" customHeight="1" x14ac:dyDescent="0.2">
      <c r="A14" s="235"/>
      <c r="B14" s="235"/>
      <c r="C14" s="235"/>
      <c r="D14" s="235"/>
      <c r="E14" s="235"/>
      <c r="F14" s="235"/>
      <c r="M14" s="135"/>
    </row>
    <row r="15" spans="1:13" ht="13.5" customHeight="1" x14ac:dyDescent="0.25">
      <c r="A15" s="19" t="s">
        <v>37</v>
      </c>
      <c r="B15" s="3" t="s">
        <v>8</v>
      </c>
      <c r="C15" s="115">
        <f>SUM(D15,F15)</f>
        <v>32956896</v>
      </c>
      <c r="D15" s="120">
        <f>SUM('sav.f. 3 '!G15,'sav.f. 3 '!G18:G22,'sav.f. 3 '!G24,'sav.f. 3 '!G25,'sav.f. 3 '!G26:G30,'sav.f. 3 '!G32:G37, 'sav.f. 3 '!G38,'sav.f. 3 '!G54:G57,'sav.f. 3 '!G72:G76,'sav.f. 3 '!G78:G81,'sav.f. 3 '!G85:G87,'sav.f. 3 '!G105:G110,'sav.f. 3 '!G112:G124,'Valst.f. 4'!G14:G30,'Valst.f. 4'!G34,'Valst.f. 4'!G52,'Valst.f. 4'!G54,'Valst.f. 4'!G57:G58,'Valst.f. 4'!G61:G62,AARP.6!I41,'MK 5'!G31,'MK 5'!G32)</f>
        <v>25065621</v>
      </c>
      <c r="E15" s="120">
        <f>SUM('sav.f. 3 '!H15,'sav.f. 3 '!H18:H22,'sav.f. 3 '!H24,'sav.f. 3 '!H25,'sav.f. 3 '!H26:H30,'sav.f. 3 '!H32:H37, 'sav.f. 3 '!H38,'sav.f. 3 '!H54:H57,'sav.f. 3 '!H72:H76,'sav.f. 3 '!H78:H81,'sav.f. 3 '!H85:H87,'sav.f. 3 '!H105:H110,'sav.f. 3 '!H112:H124,'Valst.f. 4'!H14:H30,'Valst.f. 4'!H34,'Valst.f. 4'!H52,'Valst.f. 4'!H54,'Valst.f. 4'!H57:H58,'Valst.f. 4'!H61:H62,AARP.6!J41,'MK 5'!H32,'MK 5'!H32)</f>
        <v>5121942</v>
      </c>
      <c r="F15" s="120">
        <f>SUM('sav.f. 3 '!I15,'sav.f. 3 '!I18:I22,'sav.f. 3 '!I24,'sav.f. 3 '!I25,'sav.f. 3 '!I26:I30,'sav.f. 3 '!I32:I37, 'sav.f. 3 '!I38,'sav.f. 3 '!I54:I57,'sav.f. 3 '!I72:I76,'sav.f. 3 '!I78:I81,'sav.f. 3 '!I85:I87,'sav.f. 3 '!I105:I110,'sav.f. 3 '!I112:I124,'Valst.f. 4'!I14:I30,'Valst.f. 4'!I34,'Valst.f. 4'!I52,'Valst.f. 4'!I54,'Valst.f. 4'!I57:I58,'Valst.f. 4'!I61:I62,AARP.6!K41,'MK 5'!I32,'MK 5'!I32)</f>
        <v>7891275</v>
      </c>
    </row>
    <row r="16" spans="1:13" ht="14.25" customHeight="1" x14ac:dyDescent="0.25">
      <c r="A16" s="19" t="s">
        <v>38</v>
      </c>
      <c r="B16" s="3" t="s">
        <v>196</v>
      </c>
      <c r="C16" s="116">
        <f>SUM(D16,F16)</f>
        <v>181200</v>
      </c>
      <c r="D16" s="45">
        <f>SUM('sav.f. 3 '!G17)</f>
        <v>179766</v>
      </c>
      <c r="E16" s="45">
        <f>SUM('sav.f. 3 '!H17)</f>
        <v>123805</v>
      </c>
      <c r="F16" s="45">
        <f>SUM('sav.f. 3 '!I17)</f>
        <v>1434</v>
      </c>
      <c r="I16" s="23"/>
    </row>
    <row r="17" spans="1:6" ht="14.25" customHeight="1" x14ac:dyDescent="0.25">
      <c r="A17" s="19" t="s">
        <v>39</v>
      </c>
      <c r="B17" s="11" t="s">
        <v>368</v>
      </c>
      <c r="C17" s="116">
        <f t="shared" ref="C17:C52" si="0">SUM(D17,F17)</f>
        <v>1768370</v>
      </c>
      <c r="D17" s="45">
        <f>SUM('sav.f. 3 '!G88+'Valst.f. 4'!G36+'MK 5'!G14+Spec.7!G13)</f>
        <v>1755370</v>
      </c>
      <c r="E17" s="45">
        <f>SUM('sav.f. 3 '!H88+'Valst.f. 4'!H36+'MK 5'!H14+Spec.7!H13)</f>
        <v>1024070</v>
      </c>
      <c r="F17" s="45">
        <f>SUM(,'MK 5'!I14)</f>
        <v>13000</v>
      </c>
    </row>
    <row r="18" spans="1:6" ht="14.25" customHeight="1" x14ac:dyDescent="0.25">
      <c r="A18" s="19" t="s">
        <v>40</v>
      </c>
      <c r="B18" s="3" t="s">
        <v>369</v>
      </c>
      <c r="C18" s="116">
        <f t="shared" si="0"/>
        <v>1646763</v>
      </c>
      <c r="D18" s="45">
        <f>SUM('sav.f. 3 '!G89+'Valst.f. 4'!G37+'MK 5'!G15+Spec.7!G14)</f>
        <v>1632756</v>
      </c>
      <c r="E18" s="45">
        <f>SUM('sav.f. 3 '!H89+'Valst.f. 4'!H37+'MK 5'!H15+Spec.7!H14)</f>
        <v>981670</v>
      </c>
      <c r="F18" s="45">
        <f>SUM(,'MK 5'!I15)</f>
        <v>14007</v>
      </c>
    </row>
    <row r="19" spans="1:6" ht="14.25" customHeight="1" x14ac:dyDescent="0.25">
      <c r="A19" s="19" t="s">
        <v>41</v>
      </c>
      <c r="B19" s="3" t="s">
        <v>370</v>
      </c>
      <c r="C19" s="116">
        <f t="shared" si="0"/>
        <v>244350</v>
      </c>
      <c r="D19" s="45">
        <f>SUM('sav.f. 3 '!G90+'Valst.f. 4'!G38+'MK 5'!G16+Spec.7!G11)</f>
        <v>237350</v>
      </c>
      <c r="E19" s="45">
        <f>SUM('sav.f. 3 '!H90+'Valst.f. 4'!H38+'MK 5'!H16+Spec.7!H11)</f>
        <v>148070</v>
      </c>
      <c r="F19" s="45">
        <f>SUM('sav.f. 3 '!I90+'Valst.f. 4'!I38+Spec.7!I11,'MK 5'!I16)</f>
        <v>7000</v>
      </c>
    </row>
    <row r="20" spans="1:6" ht="15" customHeight="1" x14ac:dyDescent="0.25">
      <c r="A20" s="19" t="s">
        <v>42</v>
      </c>
      <c r="B20" s="3" t="s">
        <v>371</v>
      </c>
      <c r="C20" s="116">
        <f t="shared" si="0"/>
        <v>660363</v>
      </c>
      <c r="D20" s="45">
        <f>SUM('sav.f. 3 '!G91+'Valst.f. 4'!G39+'MK 5'!G17+Spec.7!G12)</f>
        <v>660363</v>
      </c>
      <c r="E20" s="45">
        <f>SUM('sav.f. 3 '!H91+'Valst.f. 4'!H39+'MK 5'!H17+Spec.7!H12)</f>
        <v>388680</v>
      </c>
      <c r="F20" s="45">
        <f>SUM('sav.f. 3 '!I91+'Valst.f. 4'!I39+Spec.7!I12)</f>
        <v>0</v>
      </c>
    </row>
    <row r="21" spans="1:6" ht="14.25" customHeight="1" x14ac:dyDescent="0.25">
      <c r="A21" s="19" t="s">
        <v>43</v>
      </c>
      <c r="B21" s="3" t="s">
        <v>372</v>
      </c>
      <c r="C21" s="116">
        <f t="shared" si="0"/>
        <v>1423022</v>
      </c>
      <c r="D21" s="45">
        <f>SUM('sav.f. 3 '!G92+'Valst.f. 4'!G40+'MK 5'!G18)</f>
        <v>774576</v>
      </c>
      <c r="E21" s="45">
        <f>SUM('sav.f. 3 '!H92+'Valst.f. 4'!H40+'MK 5'!H18)</f>
        <v>475988</v>
      </c>
      <c r="F21" s="45">
        <f>SUM('sav.f. 3 '!I92+'Valst.f. 4'!I40+'MK 5'!I18)</f>
        <v>648446</v>
      </c>
    </row>
    <row r="22" spans="1:6" ht="14.25" customHeight="1" x14ac:dyDescent="0.25">
      <c r="A22" s="19" t="s">
        <v>44</v>
      </c>
      <c r="B22" s="3" t="s">
        <v>373</v>
      </c>
      <c r="C22" s="116">
        <f t="shared" si="0"/>
        <v>590953</v>
      </c>
      <c r="D22" s="45">
        <f>SUM('sav.f. 3 '!G93+'Valst.f. 4'!G41+'MK 5'!G19)</f>
        <v>588953</v>
      </c>
      <c r="E22" s="45">
        <f>SUM('sav.f. 3 '!H93+'Valst.f. 4'!H41+'MK 5'!H19)</f>
        <v>403770</v>
      </c>
      <c r="F22" s="45">
        <f>SUM('sav.f. 3 '!I93+'Valst.f. 4'!I41+'MK 5'!I19)</f>
        <v>2000</v>
      </c>
    </row>
    <row r="23" spans="1:6" ht="14.25" customHeight="1" x14ac:dyDescent="0.25">
      <c r="A23" s="19" t="s">
        <v>45</v>
      </c>
      <c r="B23" s="3" t="s">
        <v>374</v>
      </c>
      <c r="C23" s="116">
        <f t="shared" si="0"/>
        <v>1074346</v>
      </c>
      <c r="D23" s="45">
        <f>SUM('sav.f. 3 '!G94+'Valst.f. 4'!G42+'MK 5'!G20,Spec.7!G29)</f>
        <v>1063147</v>
      </c>
      <c r="E23" s="45">
        <f>SUM('sav.f. 3 '!H94+'Valst.f. 4'!H42+'MK 5'!H20)</f>
        <v>654245</v>
      </c>
      <c r="F23" s="45">
        <f>SUM('sav.f. 3 '!I94+'Valst.f. 4'!I42+'MK 5'!I20)</f>
        <v>11199</v>
      </c>
    </row>
    <row r="24" spans="1:6" ht="14.25" customHeight="1" x14ac:dyDescent="0.25">
      <c r="A24" s="19" t="s">
        <v>46</v>
      </c>
      <c r="B24" s="2" t="s">
        <v>375</v>
      </c>
      <c r="C24" s="116">
        <f t="shared" si="0"/>
        <v>1076789</v>
      </c>
      <c r="D24" s="45">
        <f>SUM('sav.f. 3 '!G95+'Valst.f. 4'!G43+'MK 5'!G21+Spec.7!G21)</f>
        <v>1037375</v>
      </c>
      <c r="E24" s="45">
        <f>SUM('sav.f. 3 '!H95+'Valst.f. 4'!H43+'MK 5'!H21+Spec.7!H21)</f>
        <v>647380</v>
      </c>
      <c r="F24" s="45">
        <f>SUM('sav.f. 3 '!I95+'Valst.f. 4'!I43+'MK 5'!I21)</f>
        <v>39414</v>
      </c>
    </row>
    <row r="25" spans="1:6" ht="14.25" customHeight="1" x14ac:dyDescent="0.25">
      <c r="A25" s="19" t="s">
        <v>47</v>
      </c>
      <c r="B25" s="2" t="s">
        <v>376</v>
      </c>
      <c r="C25" s="116">
        <f t="shared" si="0"/>
        <v>813390</v>
      </c>
      <c r="D25" s="45">
        <f>SUM('sav.f. 3 '!G96+'Valst.f. 4'!G44+'MK 5'!G22+Spec.7!G20)</f>
        <v>807690</v>
      </c>
      <c r="E25" s="45">
        <f>SUM('sav.f. 3 '!H96+'Valst.f. 4'!H44+'MK 5'!H22+Spec.7!H20)</f>
        <v>513480</v>
      </c>
      <c r="F25" s="45">
        <f>SUM('sav.f. 3 '!I96+'Valst.f. 4'!I44+'MK 5'!I22)</f>
        <v>5700</v>
      </c>
    </row>
    <row r="26" spans="1:6" ht="14.25" customHeight="1" x14ac:dyDescent="0.25">
      <c r="A26" s="19" t="s">
        <v>48</v>
      </c>
      <c r="B26" s="2" t="s">
        <v>377</v>
      </c>
      <c r="C26" s="116">
        <f t="shared" si="0"/>
        <v>708842</v>
      </c>
      <c r="D26" s="45">
        <f>SUM('sav.f. 3 '!G97+'Valst.f. 4'!G45+'MK 5'!G23)</f>
        <v>708842</v>
      </c>
      <c r="E26" s="45">
        <f>SUM('sav.f. 3 '!H97+'Valst.f. 4'!H45+'MK 5'!H23)</f>
        <v>447520</v>
      </c>
      <c r="F26" s="45">
        <f>SUM('sav.f. 3 '!I97+'Valst.f. 4'!I45+'MK 5'!I23)</f>
        <v>0</v>
      </c>
    </row>
    <row r="27" spans="1:6" ht="14.25" customHeight="1" x14ac:dyDescent="0.25">
      <c r="A27" s="19" t="s">
        <v>49</v>
      </c>
      <c r="B27" s="4" t="s">
        <v>378</v>
      </c>
      <c r="C27" s="116">
        <f t="shared" si="0"/>
        <v>1312245</v>
      </c>
      <c r="D27" s="45">
        <f>SUM('sav.f. 3 '!G98+'Valst.f. 4'!G46+'MK 5'!G24+Spec.7!G18)</f>
        <v>1279145</v>
      </c>
      <c r="E27" s="45">
        <f>SUM('sav.f. 3 '!H98+'Valst.f. 4'!H46+'MK 5'!H24+Spec.7!H18)</f>
        <v>849690</v>
      </c>
      <c r="F27" s="45">
        <f>SUM('sav.f. 3 '!I98+'Valst.f. 4'!I46+'MK 5'!I24)</f>
        <v>33100</v>
      </c>
    </row>
    <row r="28" spans="1:6" ht="14.25" customHeight="1" x14ac:dyDescent="0.25">
      <c r="A28" s="19" t="s">
        <v>50</v>
      </c>
      <c r="B28" s="4" t="s">
        <v>379</v>
      </c>
      <c r="C28" s="116">
        <f t="shared" si="0"/>
        <v>1342951</v>
      </c>
      <c r="D28" s="45">
        <f>SUM('sav.f. 3 '!G99+'Valst.f. 4'!G47+'MK 5'!G25+Spec.7!G19)</f>
        <v>1315951</v>
      </c>
      <c r="E28" s="45">
        <f>SUM('sav.f. 3 '!H99+'Valst.f. 4'!H47+'MK 5'!H25+Spec.7!H19)</f>
        <v>832500</v>
      </c>
      <c r="F28" s="45">
        <f>SUM('sav.f. 3 '!I99+'Valst.f. 4'!I47+'MK 5'!I25)</f>
        <v>27000</v>
      </c>
    </row>
    <row r="29" spans="1:6" ht="14.25" customHeight="1" x14ac:dyDescent="0.25">
      <c r="A29" s="19" t="s">
        <v>51</v>
      </c>
      <c r="B29" s="3" t="s">
        <v>341</v>
      </c>
      <c r="C29" s="116">
        <f t="shared" si="0"/>
        <v>2917427</v>
      </c>
      <c r="D29" s="45">
        <f>SUM('sav.f. 3 '!G100+'Valst.f. 4'!G48+'MK 5'!G26+Spec.7!G16)</f>
        <v>2416496</v>
      </c>
      <c r="E29" s="45">
        <f>SUM('sav.f. 3 '!H100+'Valst.f. 4'!H48+'MK 5'!H26+Spec.7!H16)</f>
        <v>1522020</v>
      </c>
      <c r="F29" s="45">
        <f>SUM('sav.f. 3 '!I100+'Valst.f. 4'!I48+'MK 5'!I26,'Valst.f. 4'!I63)</f>
        <v>500931</v>
      </c>
    </row>
    <row r="30" spans="1:6" ht="14.25" customHeight="1" x14ac:dyDescent="0.25">
      <c r="A30" s="19" t="s">
        <v>52</v>
      </c>
      <c r="B30" s="3" t="s">
        <v>380</v>
      </c>
      <c r="C30" s="116">
        <f t="shared" si="0"/>
        <v>4501064</v>
      </c>
      <c r="D30" s="45">
        <f>SUM('sav.f. 3 '!G102+'Valst.f. 4'!G50+'Valst.f. 4'!G64+'MK 5'!G28+Spec.7!G15)</f>
        <v>4358680</v>
      </c>
      <c r="E30" s="45">
        <f>SUM('sav.f. 3 '!H102+'Valst.f. 4'!H50+'Valst.f. 4'!H64+'MK 5'!H28+Spec.7!H15)</f>
        <v>2805575</v>
      </c>
      <c r="F30" s="45">
        <f>SUM('sav.f. 3 '!I102+'Valst.f. 4'!I49+'MK 5'!I28)</f>
        <v>142384</v>
      </c>
    </row>
    <row r="31" spans="1:6" ht="14.25" customHeight="1" x14ac:dyDescent="0.25">
      <c r="A31" s="19" t="s">
        <v>53</v>
      </c>
      <c r="B31" s="3" t="s">
        <v>381</v>
      </c>
      <c r="C31" s="116">
        <f t="shared" si="0"/>
        <v>2517663</v>
      </c>
      <c r="D31" s="45">
        <f>SUM('sav.f. 3 '!G101+'Valst.f. 4'!G49+'MK 5'!G27+Spec.7!G17)</f>
        <v>2192723</v>
      </c>
      <c r="E31" s="45">
        <f>SUM('sav.f. 3 '!H101+'Valst.f. 4'!H49+'MK 5'!H27+Spec.7!H17)</f>
        <v>1330620</v>
      </c>
      <c r="F31" s="45">
        <f>SUM('sav.f. 3 '!I101+'Valst.f. 4'!I50+'MK 5'!I27)</f>
        <v>324940</v>
      </c>
    </row>
    <row r="32" spans="1:6" ht="14.25" customHeight="1" x14ac:dyDescent="0.25">
      <c r="A32" s="19" t="s">
        <v>54</v>
      </c>
      <c r="B32" s="3" t="s">
        <v>28</v>
      </c>
      <c r="C32" s="116">
        <f t="shared" si="0"/>
        <v>1124842</v>
      </c>
      <c r="D32" s="45">
        <f>SUM('sav.f. 3 '!G103+'MK 5'!G29+Spec.7!G22)</f>
        <v>1124047</v>
      </c>
      <c r="E32" s="45">
        <f>SUM('sav.f. 3 '!H103+'MK 5'!H29,Spec.7!G23)</f>
        <v>799350</v>
      </c>
      <c r="F32" s="45">
        <f>SUM('sav.f. 3 '!I103)</f>
        <v>795</v>
      </c>
    </row>
    <row r="33" spans="1:9" ht="14.25" customHeight="1" x14ac:dyDescent="0.25">
      <c r="A33" s="19" t="s">
        <v>55</v>
      </c>
      <c r="B33" s="3" t="s">
        <v>24</v>
      </c>
      <c r="C33" s="116">
        <f t="shared" si="0"/>
        <v>581674</v>
      </c>
      <c r="D33" s="45">
        <f>SUM('sav.f. 3 '!G84+'sav.f. 3 '!G104+'MK 5'!G30+Spec.7!G24)</f>
        <v>578074</v>
      </c>
      <c r="E33" s="45">
        <f>SUM('sav.f. 3 '!H84+'sav.f. 3 '!H104+'MK 5'!H30)</f>
        <v>311905</v>
      </c>
      <c r="F33" s="45">
        <f>SUM('sav.f. 3 '!I84+'sav.f. 3 '!I104+Spec.7!I24)</f>
        <v>3600</v>
      </c>
    </row>
    <row r="34" spans="1:9" ht="14.25" customHeight="1" x14ac:dyDescent="0.25">
      <c r="A34" s="19" t="s">
        <v>57</v>
      </c>
      <c r="B34" s="3" t="s">
        <v>346</v>
      </c>
      <c r="C34" s="115">
        <f t="shared" si="0"/>
        <v>1254189</v>
      </c>
      <c r="D34" s="45">
        <f>SUM('sav.f. 3 '!G82+Spec.7!G28,'Valst.f. 4'!G59)</f>
        <v>1254189</v>
      </c>
      <c r="E34" s="45">
        <f>SUM('sav.f. 3 '!H82+Spec.7!H28,'Valst.f. 4'!H59)</f>
        <v>765770</v>
      </c>
      <c r="F34" s="45">
        <f>SUM('sav.f. 3 '!I82+Spec.7!I28)</f>
        <v>0</v>
      </c>
    </row>
    <row r="35" spans="1:9" ht="14.25" customHeight="1" x14ac:dyDescent="0.25">
      <c r="A35" s="19" t="s">
        <v>58</v>
      </c>
      <c r="B35" s="3" t="s">
        <v>19</v>
      </c>
      <c r="C35" s="116">
        <f t="shared" si="0"/>
        <v>260450</v>
      </c>
      <c r="D35" s="45">
        <f>SUM('sav.f. 3 '!G83,'Valst.f. 4'!G60)</f>
        <v>254450</v>
      </c>
      <c r="E35" s="45">
        <f>SUM('sav.f. 3 '!H83,'Valst.f. 4'!H60)</f>
        <v>151154</v>
      </c>
      <c r="F35" s="45">
        <f>SUM('sav.f. 3 '!I83)</f>
        <v>6000</v>
      </c>
      <c r="I35" s="16"/>
    </row>
    <row r="36" spans="1:9" ht="14.25" customHeight="1" x14ac:dyDescent="0.25">
      <c r="A36" s="19" t="s">
        <v>59</v>
      </c>
      <c r="B36" s="3" t="s">
        <v>122</v>
      </c>
      <c r="C36" s="116">
        <f t="shared" si="0"/>
        <v>292800</v>
      </c>
      <c r="D36" s="45">
        <f>SUM('sav.f. 3 '!G77,'Valst.f. 4'!G56,Spec.7!G26)</f>
        <v>289800</v>
      </c>
      <c r="E36" s="45">
        <f>SUM('sav.f. 3 '!H77,'Valst.f. 4'!H56,Spec.7!G27)</f>
        <v>190950</v>
      </c>
      <c r="F36" s="45">
        <f>SUM('sav.f. 3 '!I77,'Valst.f. 4'!I56)</f>
        <v>3000</v>
      </c>
    </row>
    <row r="37" spans="1:9" ht="14.25" customHeight="1" x14ac:dyDescent="0.25">
      <c r="A37" s="19" t="s">
        <v>69</v>
      </c>
      <c r="B37" s="3" t="s">
        <v>117</v>
      </c>
      <c r="C37" s="116">
        <f t="shared" si="0"/>
        <v>398328</v>
      </c>
      <c r="D37" s="45">
        <f>SUM('sav.f. 3 '!G111+'Valst.f. 4'!G51+Spec.7!G25)</f>
        <v>398328</v>
      </c>
      <c r="E37" s="45">
        <f>SUM('sav.f. 3 '!H111+'Valst.f. 4'!H51+Spec.7!H25)</f>
        <v>206300</v>
      </c>
      <c r="F37" s="45">
        <f>SUM('sav.f. 3 '!I111+'Valst.f. 4'!I51+Spec.7!I25)</f>
        <v>0</v>
      </c>
    </row>
    <row r="38" spans="1:9" ht="14.25" customHeight="1" x14ac:dyDescent="0.25">
      <c r="A38" s="19" t="s">
        <v>82</v>
      </c>
      <c r="B38" s="3" t="s">
        <v>234</v>
      </c>
      <c r="C38" s="116">
        <f t="shared" si="0"/>
        <v>11520</v>
      </c>
      <c r="D38" s="45">
        <f>SUM('sav.f. 3 '!G40+'sav.f. 3 '!G58)</f>
        <v>11520</v>
      </c>
      <c r="E38" s="45">
        <f>SUM('sav.f. 3 '!H40+'sav.f. 3 '!H58)</f>
        <v>0</v>
      </c>
      <c r="F38" s="45">
        <f>SUM('sav.f. 3 '!I40+'sav.f. 3 '!I58)</f>
        <v>0</v>
      </c>
    </row>
    <row r="39" spans="1:9" ht="14.25" customHeight="1" x14ac:dyDescent="0.25">
      <c r="A39" s="19" t="s">
        <v>119</v>
      </c>
      <c r="B39" s="3" t="s">
        <v>235</v>
      </c>
      <c r="C39" s="116">
        <f t="shared" si="0"/>
        <v>24540</v>
      </c>
      <c r="D39" s="45">
        <f>SUM('sav.f. 3 '!G41+'sav.f. 3 '!G59)</f>
        <v>24540</v>
      </c>
      <c r="E39" s="45">
        <f>SUM('sav.f. 3 '!H41+'sav.f. 3 '!H59)</f>
        <v>0</v>
      </c>
      <c r="F39" s="45">
        <f>SUM('sav.f. 3 '!I41+'sav.f. 3 '!I59)</f>
        <v>0</v>
      </c>
    </row>
    <row r="40" spans="1:9" ht="14.25" customHeight="1" x14ac:dyDescent="0.25">
      <c r="A40" s="19" t="s">
        <v>121</v>
      </c>
      <c r="B40" s="3" t="s">
        <v>236</v>
      </c>
      <c r="C40" s="116">
        <f t="shared" si="0"/>
        <v>25870</v>
      </c>
      <c r="D40" s="45">
        <f>SUM('sav.f. 3 '!G42+'sav.f. 3 '!G60)</f>
        <v>25870</v>
      </c>
      <c r="E40" s="45">
        <f>SUM('sav.f. 3 '!H42+'sav.f. 3 '!H60)</f>
        <v>0</v>
      </c>
      <c r="F40" s="45">
        <f>SUM('sav.f. 3 '!I42+'sav.f. 3 '!I60)</f>
        <v>0</v>
      </c>
    </row>
    <row r="41" spans="1:9" ht="14.25" customHeight="1" x14ac:dyDescent="0.25">
      <c r="A41" s="19" t="s">
        <v>251</v>
      </c>
      <c r="B41" s="3" t="s">
        <v>237</v>
      </c>
      <c r="C41" s="116">
        <f t="shared" si="0"/>
        <v>18610</v>
      </c>
      <c r="D41" s="45">
        <f>SUM('sav.f. 3 '!G43+'sav.f. 3 '!G61)</f>
        <v>18610</v>
      </c>
      <c r="E41" s="45">
        <f>SUM('sav.f. 3 '!H43+'sav.f. 3 '!H61)</f>
        <v>0</v>
      </c>
      <c r="F41" s="45">
        <f>SUM('sav.f. 3 '!I43+'sav.f. 3 '!I61)</f>
        <v>0</v>
      </c>
    </row>
    <row r="42" spans="1:9" ht="14.25" customHeight="1" x14ac:dyDescent="0.25">
      <c r="A42" s="19" t="s">
        <v>140</v>
      </c>
      <c r="B42" s="3" t="s">
        <v>249</v>
      </c>
      <c r="C42" s="115">
        <f t="shared" si="0"/>
        <v>404780</v>
      </c>
      <c r="D42" s="45">
        <f>SUM('sav.f. 3 '!G44+'sav.f. 3 '!G62)</f>
        <v>320360</v>
      </c>
      <c r="E42" s="45">
        <f>SUM('sav.f. 3 '!H44+'sav.f. 3 '!H62)</f>
        <v>0</v>
      </c>
      <c r="F42" s="45">
        <f>SUM('sav.f. 3 '!I44+'sav.f. 3 '!I62)</f>
        <v>84420</v>
      </c>
    </row>
    <row r="43" spans="1:9" ht="14.25" customHeight="1" x14ac:dyDescent="0.25">
      <c r="A43" s="19" t="s">
        <v>141</v>
      </c>
      <c r="B43" s="3" t="s">
        <v>238</v>
      </c>
      <c r="C43" s="116">
        <f t="shared" si="0"/>
        <v>51160</v>
      </c>
      <c r="D43" s="45">
        <f>SUM('sav.f. 3 '!G45+'sav.f. 3 '!G63)</f>
        <v>43018</v>
      </c>
      <c r="E43" s="45">
        <f>SUM('sav.f. 3 '!H45+'sav.f. 3 '!H63)</f>
        <v>0</v>
      </c>
      <c r="F43" s="45">
        <f>SUM('sav.f. 3 '!I45+'sav.f. 3 '!I63)</f>
        <v>8142</v>
      </c>
    </row>
    <row r="44" spans="1:9" ht="14.25" customHeight="1" x14ac:dyDescent="0.25">
      <c r="A44" s="19" t="s">
        <v>142</v>
      </c>
      <c r="B44" s="3" t="s">
        <v>239</v>
      </c>
      <c r="C44" s="116">
        <f t="shared" si="0"/>
        <v>16300</v>
      </c>
      <c r="D44" s="45">
        <f>SUM('sav.f. 3 '!G46+'sav.f. 3 '!G64)</f>
        <v>14510</v>
      </c>
      <c r="E44" s="45">
        <f>SUM('sav.f. 3 '!H46+'sav.f. 3 '!H64)</f>
        <v>0</v>
      </c>
      <c r="F44" s="45">
        <f>SUM('sav.f. 3 '!I46+'sav.f. 3 '!I64)</f>
        <v>1790</v>
      </c>
    </row>
    <row r="45" spans="1:9" ht="14.25" customHeight="1" x14ac:dyDescent="0.25">
      <c r="A45" s="19" t="s">
        <v>143</v>
      </c>
      <c r="B45" s="3" t="s">
        <v>240</v>
      </c>
      <c r="C45" s="116">
        <f t="shared" si="0"/>
        <v>56400</v>
      </c>
      <c r="D45" s="45">
        <f>SUM('sav.f. 3 '!G47+'sav.f. 3 '!G65)</f>
        <v>56400</v>
      </c>
      <c r="E45" s="45">
        <f>SUM('sav.f. 3 '!H47+'sav.f. 3 '!H65)</f>
        <v>0</v>
      </c>
      <c r="F45" s="45">
        <f>SUM('sav.f. 3 '!I47+'sav.f. 3 '!I65)</f>
        <v>0</v>
      </c>
    </row>
    <row r="46" spans="1:9" ht="14.25" customHeight="1" x14ac:dyDescent="0.25">
      <c r="A46" s="19" t="s">
        <v>144</v>
      </c>
      <c r="B46" s="3" t="s">
        <v>241</v>
      </c>
      <c r="C46" s="116">
        <f t="shared" si="0"/>
        <v>13600</v>
      </c>
      <c r="D46" s="45">
        <f>SUM('sav.f. 3 '!G48+'sav.f. 3 '!G66)</f>
        <v>13600</v>
      </c>
      <c r="E46" s="45">
        <f>SUM('sav.f. 3 '!H48+'sav.f. 3 '!H66)</f>
        <v>0</v>
      </c>
      <c r="F46" s="45">
        <f>SUM('sav.f. 3 '!I48+'sav.f. 3 '!I66)</f>
        <v>0</v>
      </c>
    </row>
    <row r="47" spans="1:9" ht="14.25" customHeight="1" x14ac:dyDescent="0.25">
      <c r="A47" s="19" t="s">
        <v>145</v>
      </c>
      <c r="B47" s="3" t="s">
        <v>242</v>
      </c>
      <c r="C47" s="116">
        <f t="shared" si="0"/>
        <v>42400</v>
      </c>
      <c r="D47" s="45">
        <f>SUM('sav.f. 3 '!G49+'sav.f. 3 '!G67)</f>
        <v>24186</v>
      </c>
      <c r="E47" s="45">
        <f>SUM('sav.f. 3 '!H49+'sav.f. 3 '!H67)</f>
        <v>0</v>
      </c>
      <c r="F47" s="45">
        <f>SUM('sav.f. 3 '!I49+'sav.f. 3 '!I67)</f>
        <v>18214</v>
      </c>
    </row>
    <row r="48" spans="1:9" ht="14.25" customHeight="1" x14ac:dyDescent="0.25">
      <c r="A48" s="19" t="s">
        <v>146</v>
      </c>
      <c r="B48" s="3" t="s">
        <v>243</v>
      </c>
      <c r="C48" s="116">
        <f t="shared" si="0"/>
        <v>18100</v>
      </c>
      <c r="D48" s="45">
        <f>SUM('sav.f. 3 '!G50+'sav.f. 3 '!G68)</f>
        <v>18100</v>
      </c>
      <c r="E48" s="45">
        <f>SUM('sav.f. 3 '!H50+'sav.f. 3 '!H68)</f>
        <v>0</v>
      </c>
      <c r="F48" s="45">
        <f>SUM('sav.f. 3 '!I50+'sav.f. 3 '!I68)</f>
        <v>0</v>
      </c>
    </row>
    <row r="49" spans="1:16" ht="14.25" customHeight="1" x14ac:dyDescent="0.25">
      <c r="A49" s="19" t="s">
        <v>147</v>
      </c>
      <c r="B49" s="3" t="s">
        <v>244</v>
      </c>
      <c r="C49" s="116">
        <f t="shared" si="0"/>
        <v>14800</v>
      </c>
      <c r="D49" s="45">
        <f>SUM('sav.f. 3 '!G51+'sav.f. 3 '!G69)</f>
        <v>8930</v>
      </c>
      <c r="E49" s="45">
        <f>SUM('sav.f. 3 '!H51+'sav.f. 3 '!H69)</f>
        <v>0</v>
      </c>
      <c r="F49" s="45">
        <f>SUM('sav.f. 3 '!I51+'sav.f. 3 '!I69)</f>
        <v>5870</v>
      </c>
    </row>
    <row r="50" spans="1:16" ht="14.25" customHeight="1" x14ac:dyDescent="0.25">
      <c r="A50" s="19" t="s">
        <v>149</v>
      </c>
      <c r="B50" s="3" t="s">
        <v>245</v>
      </c>
      <c r="C50" s="115">
        <f t="shared" si="0"/>
        <v>167870</v>
      </c>
      <c r="D50" s="45">
        <f>SUM('sav.f. 3 '!G52+'sav.f. 3 '!G70)</f>
        <v>160870</v>
      </c>
      <c r="E50" s="45">
        <f>SUM('sav.f. 3 '!H52+'sav.f. 3 '!H70)</f>
        <v>0</v>
      </c>
      <c r="F50" s="45">
        <f>SUM('sav.f. 3 '!I52+'sav.f. 3 '!I70)</f>
        <v>7000</v>
      </c>
    </row>
    <row r="51" spans="1:16" ht="14.25" customHeight="1" x14ac:dyDescent="0.25">
      <c r="A51" s="19" t="s">
        <v>150</v>
      </c>
      <c r="B51" s="3" t="s">
        <v>246</v>
      </c>
      <c r="C51" s="116">
        <f>SUM(D51,F51)</f>
        <v>99372</v>
      </c>
      <c r="D51" s="45">
        <f>SUM('sav.f. 3 '!G53+'sav.f. 3 '!G71)</f>
        <v>99372</v>
      </c>
      <c r="E51" s="45">
        <f>SUM('sav.f. 3 '!H53+'sav.f. 3 '!H71)</f>
        <v>0</v>
      </c>
      <c r="F51" s="45">
        <f>SUM('sav.f. 3 '!I53+'sav.f. 3 '!I71)</f>
        <v>0</v>
      </c>
    </row>
    <row r="52" spans="1:16" ht="15.75" customHeight="1" x14ac:dyDescent="0.25">
      <c r="A52" s="19" t="s">
        <v>179</v>
      </c>
      <c r="B52" s="3" t="s">
        <v>344</v>
      </c>
      <c r="C52" s="116">
        <f t="shared" si="0"/>
        <v>10167171</v>
      </c>
      <c r="D52" s="45">
        <f>SUM('sav.f. 3 '!G23)</f>
        <v>416990</v>
      </c>
      <c r="E52" s="45">
        <f>SUM('sav.f. 3 '!H23)</f>
        <v>0</v>
      </c>
      <c r="F52" s="45">
        <f>SUM('sav.f. 3 '!I23)</f>
        <v>9750181</v>
      </c>
    </row>
    <row r="53" spans="1:16" ht="21.75" customHeight="1" x14ac:dyDescent="0.25">
      <c r="A53" s="32"/>
      <c r="B53" s="18" t="s">
        <v>202</v>
      </c>
      <c r="C53" s="134">
        <f>SUM(C15:C52)</f>
        <v>70781410</v>
      </c>
      <c r="D53" s="134">
        <f>SUM(D15:D52)</f>
        <v>51230568</v>
      </c>
      <c r="E53" s="117">
        <f>SUM(E15:E52)</f>
        <v>20696454</v>
      </c>
      <c r="F53" s="117">
        <f>SUM(F15:F52)</f>
        <v>19550842</v>
      </c>
    </row>
    <row r="54" spans="1:16" ht="13.5" customHeight="1" x14ac:dyDescent="0.2">
      <c r="A54" s="42"/>
      <c r="B54" s="42"/>
      <c r="C54" s="42"/>
      <c r="D54" s="42"/>
      <c r="E54" s="42"/>
      <c r="F54" s="42"/>
    </row>
    <row r="55" spans="1:16" ht="15" x14ac:dyDescent="0.2">
      <c r="A55" s="42"/>
      <c r="B55" s="42"/>
      <c r="C55" s="42"/>
      <c r="D55" s="42"/>
      <c r="E55" s="42"/>
      <c r="F55" s="42"/>
      <c r="N55" s="114"/>
      <c r="O55" s="114"/>
      <c r="P55" s="114"/>
    </row>
    <row r="56" spans="1:16" x14ac:dyDescent="0.2">
      <c r="N56" s="114"/>
      <c r="O56" s="114"/>
      <c r="P56" s="114"/>
    </row>
    <row r="57" spans="1:16" x14ac:dyDescent="0.2">
      <c r="N57" s="114"/>
      <c r="O57" s="114"/>
      <c r="P57" s="114"/>
    </row>
  </sheetData>
  <mergeCells count="14">
    <mergeCell ref="A8:F8"/>
    <mergeCell ref="B9:F9"/>
    <mergeCell ref="B10:F10"/>
    <mergeCell ref="C2:F2"/>
    <mergeCell ref="C1:E1"/>
    <mergeCell ref="C3:D3"/>
    <mergeCell ref="A11:A14"/>
    <mergeCell ref="B11:B14"/>
    <mergeCell ref="C11:C14"/>
    <mergeCell ref="D11:F11"/>
    <mergeCell ref="D12:E12"/>
    <mergeCell ref="F12:F14"/>
    <mergeCell ref="D13:D14"/>
    <mergeCell ref="E13:E14"/>
  </mergeCells>
  <phoneticPr fontId="8" type="noConversion"/>
  <pageMargins left="0.70866141732283472" right="0.70866141732283472" top="0.35433070866141736" bottom="0.15748031496062992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126"/>
  <sheetViews>
    <sheetView workbookViewId="0">
      <selection activeCell="I38" sqref="I38"/>
    </sheetView>
  </sheetViews>
  <sheetFormatPr defaultRowHeight="15.75" x14ac:dyDescent="0.25"/>
  <cols>
    <col min="1" max="1" width="4.85546875" style="51" customWidth="1"/>
    <col min="2" max="2" width="5.42578125" style="51" customWidth="1"/>
    <col min="3" max="3" width="5.85546875" style="51" customWidth="1"/>
    <col min="4" max="4" width="30.42578125" style="51" customWidth="1"/>
    <col min="5" max="5" width="44.5703125" style="51" customWidth="1"/>
    <col min="6" max="6" width="11.140625" style="51" customWidth="1"/>
    <col min="7" max="7" width="11.85546875" style="51" customWidth="1"/>
    <col min="8" max="8" width="9.28515625" style="51" customWidth="1"/>
    <col min="9" max="9" width="12" style="51" customWidth="1"/>
    <col min="10" max="10" width="9.140625" style="51"/>
    <col min="11" max="11" width="11.140625" style="51" customWidth="1"/>
    <col min="12" max="13" width="9.140625" style="51"/>
    <col min="14" max="14" width="10.140625" style="51" bestFit="1" customWidth="1"/>
    <col min="15" max="16384" width="9.140625" style="51"/>
  </cols>
  <sheetData>
    <row r="1" spans="1:9" x14ac:dyDescent="0.25">
      <c r="E1" s="52"/>
      <c r="F1" s="198" t="s">
        <v>80</v>
      </c>
      <c r="G1" s="198"/>
      <c r="H1" s="198"/>
      <c r="I1" s="16"/>
    </row>
    <row r="2" spans="1:9" x14ac:dyDescent="0.25">
      <c r="E2" s="52"/>
      <c r="F2" s="198" t="s">
        <v>489</v>
      </c>
      <c r="G2" s="198"/>
      <c r="H2" s="198"/>
      <c r="I2" s="198"/>
    </row>
    <row r="3" spans="1:9" ht="17.25" customHeight="1" x14ac:dyDescent="0.25">
      <c r="E3" s="52"/>
      <c r="F3" s="35" t="s">
        <v>401</v>
      </c>
      <c r="G3" s="35"/>
      <c r="H3" s="35"/>
      <c r="I3" s="16"/>
    </row>
    <row r="4" spans="1:9" ht="12.75" hidden="1" customHeight="1" x14ac:dyDescent="0.25">
      <c r="E4" s="52"/>
      <c r="F4" s="52" t="s">
        <v>387</v>
      </c>
      <c r="G4" s="53"/>
      <c r="H4" s="53"/>
    </row>
    <row r="5" spans="1:9" ht="14.25" hidden="1" customHeight="1" x14ac:dyDescent="0.25">
      <c r="E5" s="52"/>
      <c r="F5" s="53" t="s">
        <v>343</v>
      </c>
      <c r="G5" s="53"/>
      <c r="H5" s="53"/>
    </row>
    <row r="6" spans="1:9" ht="14.25" customHeight="1" x14ac:dyDescent="0.25">
      <c r="E6" s="52"/>
      <c r="F6" s="196" t="s">
        <v>494</v>
      </c>
      <c r="G6" s="196"/>
      <c r="H6" s="36"/>
    </row>
    <row r="7" spans="1:9" ht="15" customHeight="1" x14ac:dyDescent="0.25">
      <c r="E7" s="52"/>
      <c r="F7" s="1" t="s">
        <v>343</v>
      </c>
      <c r="G7" s="1"/>
      <c r="H7" s="1"/>
    </row>
    <row r="8" spans="1:9" ht="16.5" customHeight="1" x14ac:dyDescent="0.25">
      <c r="D8" s="244" t="s">
        <v>400</v>
      </c>
      <c r="E8" s="244"/>
      <c r="F8" s="244"/>
      <c r="G8" s="244"/>
      <c r="H8" s="244"/>
      <c r="I8" s="244"/>
    </row>
    <row r="9" spans="1:9" ht="16.5" customHeight="1" x14ac:dyDescent="0.25">
      <c r="D9" s="245" t="s">
        <v>311</v>
      </c>
      <c r="E9" s="245"/>
      <c r="F9" s="245"/>
      <c r="G9" s="245"/>
      <c r="H9" s="245"/>
      <c r="I9" s="245"/>
    </row>
    <row r="10" spans="1:9" ht="13.5" customHeight="1" x14ac:dyDescent="0.25">
      <c r="D10" s="246" t="s">
        <v>124</v>
      </c>
      <c r="E10" s="246"/>
      <c r="F10" s="246"/>
      <c r="G10" s="246"/>
      <c r="H10" s="246"/>
      <c r="I10" s="246"/>
    </row>
    <row r="11" spans="1:9" ht="15" customHeight="1" x14ac:dyDescent="0.25">
      <c r="A11" s="240" t="s">
        <v>60</v>
      </c>
      <c r="B11" s="240" t="s">
        <v>153</v>
      </c>
      <c r="C11" s="240" t="s">
        <v>154</v>
      </c>
      <c r="D11" s="243" t="s">
        <v>231</v>
      </c>
      <c r="E11" s="243" t="s">
        <v>125</v>
      </c>
      <c r="F11" s="240" t="s">
        <v>345</v>
      </c>
      <c r="G11" s="243" t="s">
        <v>152</v>
      </c>
      <c r="H11" s="243"/>
      <c r="I11" s="243"/>
    </row>
    <row r="12" spans="1:9" ht="15" customHeight="1" x14ac:dyDescent="0.25">
      <c r="A12" s="241"/>
      <c r="B12" s="241"/>
      <c r="C12" s="241"/>
      <c r="D12" s="243"/>
      <c r="E12" s="243"/>
      <c r="F12" s="241"/>
      <c r="G12" s="243" t="s">
        <v>108</v>
      </c>
      <c r="H12" s="243"/>
      <c r="I12" s="240" t="s">
        <v>329</v>
      </c>
    </row>
    <row r="13" spans="1:9" ht="9.75" customHeight="1" x14ac:dyDescent="0.25">
      <c r="A13" s="241"/>
      <c r="B13" s="241"/>
      <c r="C13" s="241"/>
      <c r="D13" s="243"/>
      <c r="E13" s="243"/>
      <c r="F13" s="241"/>
      <c r="G13" s="243" t="s">
        <v>4</v>
      </c>
      <c r="H13" s="243" t="s">
        <v>109</v>
      </c>
      <c r="I13" s="241"/>
    </row>
    <row r="14" spans="1:9" ht="66" customHeight="1" x14ac:dyDescent="0.25">
      <c r="A14" s="242"/>
      <c r="B14" s="242"/>
      <c r="C14" s="242"/>
      <c r="D14" s="243"/>
      <c r="E14" s="243"/>
      <c r="F14" s="242"/>
      <c r="G14" s="243"/>
      <c r="H14" s="243"/>
      <c r="I14" s="242"/>
    </row>
    <row r="15" spans="1:9" ht="17.25" customHeight="1" x14ac:dyDescent="0.25">
      <c r="A15" s="43" t="s">
        <v>37</v>
      </c>
      <c r="B15" s="43" t="s">
        <v>127</v>
      </c>
      <c r="C15" s="43" t="s">
        <v>127</v>
      </c>
      <c r="D15" s="55" t="s">
        <v>8</v>
      </c>
      <c r="E15" s="48" t="s">
        <v>195</v>
      </c>
      <c r="F15" s="115">
        <f t="shared" ref="F15:F45" si="0">SUM(G15+I15)</f>
        <v>393320</v>
      </c>
      <c r="G15" s="45">
        <f>335600+43620+14100</f>
        <v>393320</v>
      </c>
      <c r="H15" s="45">
        <f>190170+9000</f>
        <v>199170</v>
      </c>
      <c r="I15" s="45"/>
    </row>
    <row r="16" spans="1:9" ht="17.25" customHeight="1" x14ac:dyDescent="0.25">
      <c r="A16" s="43" t="s">
        <v>61</v>
      </c>
      <c r="B16" s="43"/>
      <c r="C16" s="43"/>
      <c r="D16" s="56"/>
      <c r="E16" s="34" t="s">
        <v>353</v>
      </c>
      <c r="F16" s="115">
        <f t="shared" si="0"/>
        <v>24000</v>
      </c>
      <c r="G16" s="45">
        <v>24000</v>
      </c>
      <c r="H16" s="45"/>
      <c r="I16" s="45"/>
    </row>
    <row r="17" spans="1:9" ht="30.75" customHeight="1" x14ac:dyDescent="0.25">
      <c r="A17" s="166" t="s">
        <v>38</v>
      </c>
      <c r="B17" s="43" t="s">
        <v>127</v>
      </c>
      <c r="C17" s="43" t="s">
        <v>127</v>
      </c>
      <c r="D17" s="56" t="s">
        <v>196</v>
      </c>
      <c r="E17" s="34" t="s">
        <v>229</v>
      </c>
      <c r="F17" s="116">
        <f t="shared" si="0"/>
        <v>181200</v>
      </c>
      <c r="G17" s="45">
        <f>181200-1434</f>
        <v>179766</v>
      </c>
      <c r="H17" s="45">
        <f>125000-1195</f>
        <v>123805</v>
      </c>
      <c r="I17" s="45">
        <v>1434</v>
      </c>
    </row>
    <row r="18" spans="1:9" ht="17.25" customHeight="1" x14ac:dyDescent="0.25">
      <c r="A18" s="166" t="s">
        <v>39</v>
      </c>
      <c r="B18" s="43" t="s">
        <v>127</v>
      </c>
      <c r="C18" s="43" t="s">
        <v>127</v>
      </c>
      <c r="D18" s="55" t="s">
        <v>8</v>
      </c>
      <c r="E18" s="48" t="s">
        <v>230</v>
      </c>
      <c r="F18" s="115">
        <f t="shared" si="0"/>
        <v>4579078</v>
      </c>
      <c r="G18" s="45">
        <f>4260930+19449-16159+113500-600</f>
        <v>4377120</v>
      </c>
      <c r="H18" s="45">
        <f>2325580+90000</f>
        <v>2415580</v>
      </c>
      <c r="I18" s="45">
        <f>147870+16159+72600-72600+37929</f>
        <v>201958</v>
      </c>
    </row>
    <row r="19" spans="1:9" ht="21.75" customHeight="1" x14ac:dyDescent="0.25">
      <c r="A19" s="179" t="s">
        <v>40</v>
      </c>
      <c r="B19" s="43" t="s">
        <v>127</v>
      </c>
      <c r="C19" s="43" t="s">
        <v>127</v>
      </c>
      <c r="D19" s="55" t="s">
        <v>8</v>
      </c>
      <c r="E19" s="57" t="s">
        <v>189</v>
      </c>
      <c r="F19" s="116">
        <f t="shared" si="0"/>
        <v>18800</v>
      </c>
      <c r="G19" s="45">
        <v>18800</v>
      </c>
      <c r="H19" s="45">
        <v>14370</v>
      </c>
      <c r="I19" s="45"/>
    </row>
    <row r="20" spans="1:9" ht="17.25" customHeight="1" x14ac:dyDescent="0.25">
      <c r="A20" s="166" t="s">
        <v>41</v>
      </c>
      <c r="B20" s="43" t="s">
        <v>127</v>
      </c>
      <c r="C20" s="43" t="s">
        <v>127</v>
      </c>
      <c r="D20" s="55" t="s">
        <v>8</v>
      </c>
      <c r="E20" s="48" t="s">
        <v>130</v>
      </c>
      <c r="F20" s="116">
        <f t="shared" si="0"/>
        <v>19910</v>
      </c>
      <c r="G20" s="45">
        <v>19910</v>
      </c>
      <c r="H20" s="45">
        <v>15200</v>
      </c>
      <c r="I20" s="45"/>
    </row>
    <row r="21" spans="1:9" ht="17.25" customHeight="1" x14ac:dyDescent="0.25">
      <c r="A21" s="166" t="s">
        <v>42</v>
      </c>
      <c r="B21" s="43" t="s">
        <v>127</v>
      </c>
      <c r="C21" s="43" t="s">
        <v>127</v>
      </c>
      <c r="D21" s="55" t="s">
        <v>8</v>
      </c>
      <c r="E21" s="58" t="s">
        <v>22</v>
      </c>
      <c r="F21" s="116">
        <f t="shared" si="0"/>
        <v>0</v>
      </c>
      <c r="G21" s="119"/>
      <c r="H21" s="119"/>
      <c r="I21" s="119"/>
    </row>
    <row r="22" spans="1:9" ht="17.25" customHeight="1" x14ac:dyDescent="0.25">
      <c r="A22" s="180" t="s">
        <v>43</v>
      </c>
      <c r="B22" s="43" t="s">
        <v>127</v>
      </c>
      <c r="C22" s="43" t="s">
        <v>127</v>
      </c>
      <c r="D22" s="55" t="s">
        <v>8</v>
      </c>
      <c r="E22" s="58" t="s">
        <v>25</v>
      </c>
      <c r="F22" s="116">
        <f t="shared" si="0"/>
        <v>543215</v>
      </c>
      <c r="G22" s="45">
        <f>410000+133215</f>
        <v>543215</v>
      </c>
      <c r="H22" s="45"/>
      <c r="I22" s="45"/>
    </row>
    <row r="23" spans="1:9" ht="30.75" customHeight="1" x14ac:dyDescent="0.25">
      <c r="A23" s="166" t="s">
        <v>44</v>
      </c>
      <c r="B23" s="43" t="s">
        <v>127</v>
      </c>
      <c r="C23" s="43" t="s">
        <v>127</v>
      </c>
      <c r="D23" s="59" t="s">
        <v>318</v>
      </c>
      <c r="E23" s="60" t="s">
        <v>394</v>
      </c>
      <c r="F23" s="116">
        <f t="shared" si="0"/>
        <v>10167171</v>
      </c>
      <c r="G23" s="45">
        <v>416990</v>
      </c>
      <c r="H23" s="45"/>
      <c r="I23" s="45">
        <f>10952213-1202000-32</f>
        <v>9750181</v>
      </c>
    </row>
    <row r="24" spans="1:9" ht="17.25" customHeight="1" x14ac:dyDescent="0.25">
      <c r="A24" s="181" t="s">
        <v>45</v>
      </c>
      <c r="B24" s="61" t="s">
        <v>163</v>
      </c>
      <c r="C24" s="43" t="s">
        <v>127</v>
      </c>
      <c r="D24" s="55" t="s">
        <v>8</v>
      </c>
      <c r="E24" s="56" t="s">
        <v>74</v>
      </c>
      <c r="F24" s="116">
        <f t="shared" si="0"/>
        <v>11000</v>
      </c>
      <c r="G24" s="45">
        <v>11000</v>
      </c>
      <c r="H24" s="45"/>
      <c r="I24" s="45"/>
    </row>
    <row r="25" spans="1:9" ht="17.25" customHeight="1" x14ac:dyDescent="0.25">
      <c r="A25" s="181" t="s">
        <v>46</v>
      </c>
      <c r="B25" s="61" t="s">
        <v>163</v>
      </c>
      <c r="C25" s="43" t="s">
        <v>127</v>
      </c>
      <c r="D25" s="55" t="s">
        <v>8</v>
      </c>
      <c r="E25" s="56" t="s">
        <v>321</v>
      </c>
      <c r="F25" s="116">
        <f>SUM(G25+I25)</f>
        <v>7900</v>
      </c>
      <c r="G25" s="45">
        <v>7900</v>
      </c>
      <c r="H25" s="45"/>
      <c r="I25" s="45"/>
    </row>
    <row r="26" spans="1:9" ht="32.25" customHeight="1" x14ac:dyDescent="0.25">
      <c r="A26" s="181" t="s">
        <v>47</v>
      </c>
      <c r="B26" s="61" t="s">
        <v>163</v>
      </c>
      <c r="C26" s="62" t="s">
        <v>127</v>
      </c>
      <c r="D26" s="63" t="s">
        <v>8</v>
      </c>
      <c r="E26" s="64" t="s">
        <v>29</v>
      </c>
      <c r="F26" s="116">
        <f t="shared" si="0"/>
        <v>7000</v>
      </c>
      <c r="G26" s="129">
        <v>7000</v>
      </c>
      <c r="H26" s="129"/>
      <c r="I26" s="129"/>
    </row>
    <row r="27" spans="1:9" ht="15.75" customHeight="1" x14ac:dyDescent="0.25">
      <c r="A27" s="166" t="s">
        <v>48</v>
      </c>
      <c r="B27" s="61" t="s">
        <v>51</v>
      </c>
      <c r="C27" s="43" t="s">
        <v>127</v>
      </c>
      <c r="D27" s="55" t="s">
        <v>8</v>
      </c>
      <c r="E27" s="65" t="s">
        <v>356</v>
      </c>
      <c r="F27" s="115">
        <f t="shared" si="0"/>
        <v>7000</v>
      </c>
      <c r="G27" s="45">
        <v>7000</v>
      </c>
      <c r="H27" s="45"/>
      <c r="I27" s="45"/>
    </row>
    <row r="28" spans="1:9" ht="16.5" customHeight="1" x14ac:dyDescent="0.25">
      <c r="A28" s="166" t="s">
        <v>49</v>
      </c>
      <c r="B28" s="43" t="s">
        <v>160</v>
      </c>
      <c r="C28" s="43" t="s">
        <v>160</v>
      </c>
      <c r="D28" s="55" t="s">
        <v>8</v>
      </c>
      <c r="E28" s="55" t="s">
        <v>120</v>
      </c>
      <c r="F28" s="45">
        <f t="shared" si="0"/>
        <v>15000</v>
      </c>
      <c r="G28" s="45">
        <v>15000</v>
      </c>
      <c r="H28" s="45"/>
      <c r="I28" s="45"/>
    </row>
    <row r="29" spans="1:9" ht="15.75" customHeight="1" x14ac:dyDescent="0.25">
      <c r="A29" s="166" t="s">
        <v>50</v>
      </c>
      <c r="B29" s="61" t="s">
        <v>160</v>
      </c>
      <c r="C29" s="43" t="s">
        <v>160</v>
      </c>
      <c r="D29" s="55" t="s">
        <v>8</v>
      </c>
      <c r="E29" s="66" t="s">
        <v>204</v>
      </c>
      <c r="F29" s="45">
        <f t="shared" si="0"/>
        <v>107440</v>
      </c>
      <c r="G29" s="45">
        <f>58654+5500</f>
        <v>64154</v>
      </c>
      <c r="H29" s="45"/>
      <c r="I29" s="45">
        <v>43286</v>
      </c>
    </row>
    <row r="30" spans="1:9" ht="15.75" customHeight="1" x14ac:dyDescent="0.25">
      <c r="A30" s="166" t="s">
        <v>51</v>
      </c>
      <c r="B30" s="177" t="s">
        <v>165</v>
      </c>
      <c r="C30" s="177" t="s">
        <v>160</v>
      </c>
      <c r="D30" s="55" t="s">
        <v>8</v>
      </c>
      <c r="E30" s="5" t="s">
        <v>465</v>
      </c>
      <c r="F30" s="45">
        <f>SUM(G30+I30)</f>
        <v>114264</v>
      </c>
      <c r="G30" s="45">
        <f>17400+8864-7212+88000</f>
        <v>107052</v>
      </c>
      <c r="H30" s="45">
        <v>60000</v>
      </c>
      <c r="I30" s="45">
        <v>7212</v>
      </c>
    </row>
    <row r="31" spans="1:9" ht="31.5" customHeight="1" x14ac:dyDescent="0.25">
      <c r="A31" s="184" t="s">
        <v>464</v>
      </c>
      <c r="B31" s="184" t="s">
        <v>165</v>
      </c>
      <c r="C31" s="184" t="s">
        <v>160</v>
      </c>
      <c r="D31" s="63" t="s">
        <v>8</v>
      </c>
      <c r="E31" s="55" t="s">
        <v>463</v>
      </c>
      <c r="F31" s="45">
        <v>5100</v>
      </c>
      <c r="G31" s="45">
        <v>5100</v>
      </c>
      <c r="H31" s="45"/>
      <c r="I31" s="45"/>
    </row>
    <row r="32" spans="1:9" ht="18.75" customHeight="1" x14ac:dyDescent="0.25">
      <c r="A32" s="166" t="s">
        <v>52</v>
      </c>
      <c r="B32" s="82" t="s">
        <v>161</v>
      </c>
      <c r="C32" s="82" t="s">
        <v>164</v>
      </c>
      <c r="D32" s="63" t="s">
        <v>8</v>
      </c>
      <c r="E32" s="85" t="s">
        <v>212</v>
      </c>
      <c r="F32" s="45">
        <f t="shared" si="0"/>
        <v>76063</v>
      </c>
      <c r="G32" s="45">
        <f>39463+36600</f>
        <v>76063</v>
      </c>
      <c r="H32" s="45"/>
      <c r="I32" s="45"/>
    </row>
    <row r="33" spans="1:9" ht="15.75" customHeight="1" x14ac:dyDescent="0.25">
      <c r="A33" s="166" t="s">
        <v>53</v>
      </c>
      <c r="B33" s="177" t="s">
        <v>164</v>
      </c>
      <c r="C33" s="177" t="s">
        <v>164</v>
      </c>
      <c r="D33" s="55" t="s">
        <v>8</v>
      </c>
      <c r="E33" s="5" t="s">
        <v>71</v>
      </c>
      <c r="F33" s="45">
        <f t="shared" si="0"/>
        <v>179900</v>
      </c>
      <c r="G33" s="45">
        <f>169900+10000</f>
        <v>179900</v>
      </c>
      <c r="H33" s="45"/>
      <c r="I33" s="45"/>
    </row>
    <row r="34" spans="1:9" ht="15.75" customHeight="1" x14ac:dyDescent="0.25">
      <c r="A34" s="166" t="s">
        <v>54</v>
      </c>
      <c r="B34" s="43" t="s">
        <v>164</v>
      </c>
      <c r="C34" s="43" t="s">
        <v>164</v>
      </c>
      <c r="D34" s="55" t="s">
        <v>8</v>
      </c>
      <c r="E34" s="5" t="s">
        <v>340</v>
      </c>
      <c r="F34" s="116">
        <f t="shared" si="0"/>
        <v>23400</v>
      </c>
      <c r="G34" s="45">
        <v>23400</v>
      </c>
      <c r="H34" s="45"/>
      <c r="I34" s="117"/>
    </row>
    <row r="35" spans="1:9" ht="15.75" customHeight="1" x14ac:dyDescent="0.25">
      <c r="A35" s="166" t="s">
        <v>55</v>
      </c>
      <c r="B35" s="43" t="s">
        <v>164</v>
      </c>
      <c r="C35" s="43" t="s">
        <v>164</v>
      </c>
      <c r="D35" s="55" t="s">
        <v>8</v>
      </c>
      <c r="E35" s="5" t="s">
        <v>23</v>
      </c>
      <c r="F35" s="116">
        <f t="shared" si="0"/>
        <v>316000</v>
      </c>
      <c r="G35" s="45">
        <v>316000</v>
      </c>
      <c r="H35" s="45"/>
      <c r="I35" s="117"/>
    </row>
    <row r="36" spans="1:9" ht="15.75" customHeight="1" x14ac:dyDescent="0.25">
      <c r="A36" s="166" t="s">
        <v>56</v>
      </c>
      <c r="B36" s="43" t="s">
        <v>168</v>
      </c>
      <c r="C36" s="43" t="s">
        <v>164</v>
      </c>
      <c r="D36" s="55" t="s">
        <v>8</v>
      </c>
      <c r="E36" s="58" t="s">
        <v>155</v>
      </c>
      <c r="F36" s="115">
        <f t="shared" si="0"/>
        <v>40000</v>
      </c>
      <c r="G36" s="45">
        <v>40000</v>
      </c>
      <c r="H36" s="45"/>
      <c r="I36" s="117"/>
    </row>
    <row r="37" spans="1:9" ht="15.75" customHeight="1" x14ac:dyDescent="0.25">
      <c r="A37" s="166" t="s">
        <v>57</v>
      </c>
      <c r="B37" s="43" t="s">
        <v>46</v>
      </c>
      <c r="C37" s="43" t="s">
        <v>164</v>
      </c>
      <c r="D37" s="55" t="s">
        <v>8</v>
      </c>
      <c r="E37" s="5" t="s">
        <v>17</v>
      </c>
      <c r="F37" s="116">
        <f t="shared" si="0"/>
        <v>5820095</v>
      </c>
      <c r="G37" s="45">
        <v>166141</v>
      </c>
      <c r="H37" s="45"/>
      <c r="I37" s="45">
        <f>4866936+100000+346719+300533+51734-12000+32</f>
        <v>5653954</v>
      </c>
    </row>
    <row r="38" spans="1:9" ht="14.25" customHeight="1" x14ac:dyDescent="0.25">
      <c r="A38" s="166" t="s">
        <v>58</v>
      </c>
      <c r="B38" s="43" t="s">
        <v>165</v>
      </c>
      <c r="C38" s="43" t="s">
        <v>168</v>
      </c>
      <c r="D38" s="55" t="s">
        <v>8</v>
      </c>
      <c r="E38" s="67" t="s">
        <v>113</v>
      </c>
      <c r="F38" s="116">
        <f t="shared" si="0"/>
        <v>2048103</v>
      </c>
      <c r="G38" s="45">
        <f>1919600+5403+23100+100000</f>
        <v>2048103</v>
      </c>
      <c r="H38" s="45">
        <f>186510+18000</f>
        <v>204510</v>
      </c>
      <c r="I38" s="45"/>
    </row>
    <row r="39" spans="1:9" ht="14.25" customHeight="1" x14ac:dyDescent="0.25">
      <c r="A39" s="166" t="s">
        <v>477</v>
      </c>
      <c r="B39" s="43" t="s">
        <v>165</v>
      </c>
      <c r="C39" s="43" t="s">
        <v>168</v>
      </c>
      <c r="D39" s="55" t="s">
        <v>8</v>
      </c>
      <c r="E39" s="67" t="s">
        <v>390</v>
      </c>
      <c r="F39" s="116">
        <f t="shared" si="0"/>
        <v>1700000</v>
      </c>
      <c r="G39" s="45">
        <v>1700000</v>
      </c>
      <c r="H39" s="45"/>
      <c r="I39" s="45"/>
    </row>
    <row r="40" spans="1:9" ht="14.25" customHeight="1" x14ac:dyDescent="0.25">
      <c r="A40" s="166" t="s">
        <v>59</v>
      </c>
      <c r="B40" s="43" t="s">
        <v>165</v>
      </c>
      <c r="C40" s="43" t="s">
        <v>168</v>
      </c>
      <c r="D40" s="55" t="s">
        <v>234</v>
      </c>
      <c r="E40" s="67" t="s">
        <v>113</v>
      </c>
      <c r="F40" s="116">
        <f t="shared" si="0"/>
        <v>7610</v>
      </c>
      <c r="G40" s="45">
        <f>8210-600</f>
        <v>7610</v>
      </c>
      <c r="H40" s="45"/>
      <c r="I40" s="45"/>
    </row>
    <row r="41" spans="1:9" ht="14.25" customHeight="1" x14ac:dyDescent="0.25">
      <c r="A41" s="166" t="s">
        <v>69</v>
      </c>
      <c r="B41" s="43" t="s">
        <v>165</v>
      </c>
      <c r="C41" s="43" t="s">
        <v>168</v>
      </c>
      <c r="D41" s="55" t="s">
        <v>235</v>
      </c>
      <c r="E41" s="67" t="s">
        <v>113</v>
      </c>
      <c r="F41" s="116">
        <f t="shared" si="0"/>
        <v>15460</v>
      </c>
      <c r="G41" s="45">
        <v>15460</v>
      </c>
      <c r="H41" s="45"/>
      <c r="I41" s="45"/>
    </row>
    <row r="42" spans="1:9" ht="14.25" customHeight="1" x14ac:dyDescent="0.25">
      <c r="A42" s="166" t="s">
        <v>82</v>
      </c>
      <c r="B42" s="43" t="s">
        <v>165</v>
      </c>
      <c r="C42" s="43" t="s">
        <v>168</v>
      </c>
      <c r="D42" s="55" t="s">
        <v>236</v>
      </c>
      <c r="E42" s="67" t="s">
        <v>113</v>
      </c>
      <c r="F42" s="116">
        <f t="shared" si="0"/>
        <v>10080</v>
      </c>
      <c r="G42" s="45">
        <f>11580-1500</f>
        <v>10080</v>
      </c>
      <c r="H42" s="45"/>
      <c r="I42" s="45"/>
    </row>
    <row r="43" spans="1:9" ht="14.25" customHeight="1" x14ac:dyDescent="0.25">
      <c r="A43" s="166" t="s">
        <v>119</v>
      </c>
      <c r="B43" s="43" t="s">
        <v>165</v>
      </c>
      <c r="C43" s="43" t="s">
        <v>168</v>
      </c>
      <c r="D43" s="55" t="s">
        <v>237</v>
      </c>
      <c r="E43" s="67" t="s">
        <v>113</v>
      </c>
      <c r="F43" s="116">
        <f t="shared" si="0"/>
        <v>11400</v>
      </c>
      <c r="G43" s="45">
        <f>11700-300</f>
        <v>11400</v>
      </c>
      <c r="H43" s="45"/>
      <c r="I43" s="45"/>
    </row>
    <row r="44" spans="1:9" ht="14.25" customHeight="1" x14ac:dyDescent="0.25">
      <c r="A44" s="166" t="s">
        <v>121</v>
      </c>
      <c r="B44" s="43" t="s">
        <v>165</v>
      </c>
      <c r="C44" s="43" t="s">
        <v>168</v>
      </c>
      <c r="D44" s="55" t="s">
        <v>249</v>
      </c>
      <c r="E44" s="67" t="s">
        <v>113</v>
      </c>
      <c r="F44" s="115">
        <f t="shared" si="0"/>
        <v>267890</v>
      </c>
      <c r="G44" s="45">
        <f>243308-20000-40000+162</f>
        <v>183470</v>
      </c>
      <c r="H44" s="45"/>
      <c r="I44" s="45">
        <f>4582+80000-162</f>
        <v>84420</v>
      </c>
    </row>
    <row r="45" spans="1:9" ht="14.25" customHeight="1" x14ac:dyDescent="0.25">
      <c r="A45" s="166" t="s">
        <v>251</v>
      </c>
      <c r="B45" s="43" t="s">
        <v>165</v>
      </c>
      <c r="C45" s="43" t="s">
        <v>168</v>
      </c>
      <c r="D45" s="55" t="s">
        <v>238</v>
      </c>
      <c r="E45" s="67" t="s">
        <v>113</v>
      </c>
      <c r="F45" s="116">
        <f t="shared" si="0"/>
        <v>33555</v>
      </c>
      <c r="G45" s="45">
        <f>20568+5000-155</f>
        <v>25413</v>
      </c>
      <c r="H45" s="45"/>
      <c r="I45" s="45">
        <v>8142</v>
      </c>
    </row>
    <row r="46" spans="1:9" ht="14.25" customHeight="1" x14ac:dyDescent="0.25">
      <c r="A46" s="166" t="s">
        <v>140</v>
      </c>
      <c r="B46" s="43" t="s">
        <v>165</v>
      </c>
      <c r="C46" s="43" t="s">
        <v>168</v>
      </c>
      <c r="D46" s="55" t="s">
        <v>239</v>
      </c>
      <c r="E46" s="67" t="s">
        <v>113</v>
      </c>
      <c r="F46" s="116">
        <f t="shared" ref="F46:F75" si="1">SUM(G46+I46)</f>
        <v>11148</v>
      </c>
      <c r="G46" s="45">
        <f>11300-1942</f>
        <v>9358</v>
      </c>
      <c r="H46" s="45"/>
      <c r="I46" s="45">
        <v>1790</v>
      </c>
    </row>
    <row r="47" spans="1:9" ht="14.25" customHeight="1" x14ac:dyDescent="0.25">
      <c r="A47" s="166" t="s">
        <v>141</v>
      </c>
      <c r="B47" s="43" t="s">
        <v>165</v>
      </c>
      <c r="C47" s="43" t="s">
        <v>168</v>
      </c>
      <c r="D47" s="55" t="s">
        <v>240</v>
      </c>
      <c r="E47" s="67" t="s">
        <v>113</v>
      </c>
      <c r="F47" s="116">
        <f t="shared" si="1"/>
        <v>29000</v>
      </c>
      <c r="G47" s="45">
        <v>29000</v>
      </c>
      <c r="H47" s="45"/>
      <c r="I47" s="45"/>
    </row>
    <row r="48" spans="1:9" ht="14.25" customHeight="1" x14ac:dyDescent="0.25">
      <c r="A48" s="166" t="s">
        <v>142</v>
      </c>
      <c r="B48" s="43" t="s">
        <v>165</v>
      </c>
      <c r="C48" s="43" t="s">
        <v>168</v>
      </c>
      <c r="D48" s="55" t="s">
        <v>241</v>
      </c>
      <c r="E48" s="67" t="s">
        <v>113</v>
      </c>
      <c r="F48" s="116">
        <f t="shared" si="1"/>
        <v>10900</v>
      </c>
      <c r="G48" s="45">
        <f>9000+1900</f>
        <v>10900</v>
      </c>
      <c r="H48" s="45"/>
      <c r="I48" s="45"/>
    </row>
    <row r="49" spans="1:9" ht="14.25" customHeight="1" x14ac:dyDescent="0.25">
      <c r="A49" s="166" t="s">
        <v>143</v>
      </c>
      <c r="B49" s="43" t="s">
        <v>165</v>
      </c>
      <c r="C49" s="43" t="s">
        <v>168</v>
      </c>
      <c r="D49" s="55" t="s">
        <v>242</v>
      </c>
      <c r="E49" s="67" t="s">
        <v>113</v>
      </c>
      <c r="F49" s="116">
        <f t="shared" si="1"/>
        <v>24655</v>
      </c>
      <c r="G49" s="45">
        <f>12400+3255-9214</f>
        <v>6441</v>
      </c>
      <c r="H49" s="45"/>
      <c r="I49" s="45">
        <f>9000+9214</f>
        <v>18214</v>
      </c>
    </row>
    <row r="50" spans="1:9" ht="14.25" customHeight="1" x14ac:dyDescent="0.25">
      <c r="A50" s="166" t="s">
        <v>144</v>
      </c>
      <c r="B50" s="43" t="s">
        <v>165</v>
      </c>
      <c r="C50" s="43" t="s">
        <v>168</v>
      </c>
      <c r="D50" s="55" t="s">
        <v>243</v>
      </c>
      <c r="E50" s="67" t="s">
        <v>113</v>
      </c>
      <c r="F50" s="116">
        <f t="shared" si="1"/>
        <v>13405</v>
      </c>
      <c r="G50" s="45">
        <f>13700-295</f>
        <v>13405</v>
      </c>
      <c r="H50" s="45"/>
      <c r="I50" s="45"/>
    </row>
    <row r="51" spans="1:9" ht="14.25" customHeight="1" x14ac:dyDescent="0.25">
      <c r="A51" s="166" t="s">
        <v>145</v>
      </c>
      <c r="B51" s="43" t="s">
        <v>165</v>
      </c>
      <c r="C51" s="43" t="s">
        <v>168</v>
      </c>
      <c r="D51" s="55" t="s">
        <v>244</v>
      </c>
      <c r="E51" s="67" t="s">
        <v>113</v>
      </c>
      <c r="F51" s="116">
        <f t="shared" si="1"/>
        <v>9400</v>
      </c>
      <c r="G51" s="45">
        <f>10600-2990-4080</f>
        <v>3530</v>
      </c>
      <c r="H51" s="45"/>
      <c r="I51" s="45">
        <f>1790+4080</f>
        <v>5870</v>
      </c>
    </row>
    <row r="52" spans="1:9" ht="14.25" customHeight="1" x14ac:dyDescent="0.25">
      <c r="A52" s="166" t="s">
        <v>146</v>
      </c>
      <c r="B52" s="43" t="s">
        <v>165</v>
      </c>
      <c r="C52" s="43" t="s">
        <v>168</v>
      </c>
      <c r="D52" s="55" t="s">
        <v>245</v>
      </c>
      <c r="E52" s="67" t="s">
        <v>113</v>
      </c>
      <c r="F52" s="115">
        <f t="shared" si="1"/>
        <v>114170</v>
      </c>
      <c r="G52" s="45">
        <v>107170</v>
      </c>
      <c r="H52" s="45"/>
      <c r="I52" s="45">
        <v>7000</v>
      </c>
    </row>
    <row r="53" spans="1:9" ht="14.25" customHeight="1" x14ac:dyDescent="0.25">
      <c r="A53" s="166" t="s">
        <v>147</v>
      </c>
      <c r="B53" s="43" t="s">
        <v>165</v>
      </c>
      <c r="C53" s="43" t="s">
        <v>168</v>
      </c>
      <c r="D53" s="55" t="s">
        <v>246</v>
      </c>
      <c r="E53" s="67" t="s">
        <v>113</v>
      </c>
      <c r="F53" s="116">
        <f t="shared" si="1"/>
        <v>65952</v>
      </c>
      <c r="G53" s="45">
        <v>65952</v>
      </c>
      <c r="H53" s="45"/>
      <c r="I53" s="45"/>
    </row>
    <row r="54" spans="1:9" ht="14.25" customHeight="1" x14ac:dyDescent="0.25">
      <c r="A54" s="166" t="s">
        <v>149</v>
      </c>
      <c r="B54" s="43" t="s">
        <v>47</v>
      </c>
      <c r="C54" s="43" t="s">
        <v>166</v>
      </c>
      <c r="D54" s="55" t="s">
        <v>8</v>
      </c>
      <c r="E54" s="68" t="s">
        <v>27</v>
      </c>
      <c r="F54" s="116">
        <f t="shared" si="1"/>
        <v>23000</v>
      </c>
      <c r="G54" s="45">
        <v>23000</v>
      </c>
      <c r="H54" s="45"/>
      <c r="I54" s="45"/>
    </row>
    <row r="55" spans="1:9" ht="15" customHeight="1" x14ac:dyDescent="0.25">
      <c r="A55" s="166" t="s">
        <v>150</v>
      </c>
      <c r="B55" s="166" t="s">
        <v>165</v>
      </c>
      <c r="C55" s="166" t="s">
        <v>166</v>
      </c>
      <c r="D55" s="167" t="s">
        <v>8</v>
      </c>
      <c r="E55" s="122" t="s">
        <v>16</v>
      </c>
      <c r="F55" s="116">
        <f t="shared" si="1"/>
        <v>157950</v>
      </c>
      <c r="G55" s="45">
        <v>157950</v>
      </c>
      <c r="H55" s="45"/>
      <c r="I55" s="45"/>
    </row>
    <row r="56" spans="1:9" ht="15.75" customHeight="1" x14ac:dyDescent="0.25">
      <c r="A56" s="166" t="s">
        <v>179</v>
      </c>
      <c r="B56" s="43" t="s">
        <v>165</v>
      </c>
      <c r="C56" s="43" t="s">
        <v>166</v>
      </c>
      <c r="D56" s="55" t="s">
        <v>8</v>
      </c>
      <c r="E56" s="67" t="s">
        <v>159</v>
      </c>
      <c r="F56" s="115">
        <f t="shared" si="1"/>
        <v>10000</v>
      </c>
      <c r="G56" s="45">
        <v>10000</v>
      </c>
      <c r="H56" s="45"/>
      <c r="I56" s="45"/>
    </row>
    <row r="57" spans="1:9" ht="15.75" customHeight="1" x14ac:dyDescent="0.25">
      <c r="A57" s="166" t="s">
        <v>180</v>
      </c>
      <c r="B57" s="43" t="s">
        <v>165</v>
      </c>
      <c r="C57" s="43" t="s">
        <v>166</v>
      </c>
      <c r="D57" s="55" t="s">
        <v>8</v>
      </c>
      <c r="E57" s="67" t="s">
        <v>5</v>
      </c>
      <c r="F57" s="116">
        <f t="shared" si="1"/>
        <v>122900</v>
      </c>
      <c r="G57" s="45">
        <v>33586</v>
      </c>
      <c r="H57" s="45"/>
      <c r="I57" s="45">
        <f>66314+23000</f>
        <v>89314</v>
      </c>
    </row>
    <row r="58" spans="1:9" ht="15.75" customHeight="1" x14ac:dyDescent="0.25">
      <c r="A58" s="166" t="s">
        <v>181</v>
      </c>
      <c r="B58" s="43" t="s">
        <v>165</v>
      </c>
      <c r="C58" s="43" t="s">
        <v>166</v>
      </c>
      <c r="D58" s="55" t="s">
        <v>234</v>
      </c>
      <c r="E58" s="67" t="s">
        <v>5</v>
      </c>
      <c r="F58" s="116">
        <f t="shared" si="1"/>
        <v>3910</v>
      </c>
      <c r="G58" s="45">
        <f>3310+600</f>
        <v>3910</v>
      </c>
      <c r="H58" s="45"/>
      <c r="I58" s="45"/>
    </row>
    <row r="59" spans="1:9" ht="15.75" customHeight="1" x14ac:dyDescent="0.25">
      <c r="A59" s="166" t="s">
        <v>182</v>
      </c>
      <c r="B59" s="43" t="s">
        <v>165</v>
      </c>
      <c r="C59" s="43" t="s">
        <v>166</v>
      </c>
      <c r="D59" s="55" t="s">
        <v>235</v>
      </c>
      <c r="E59" s="67" t="s">
        <v>5</v>
      </c>
      <c r="F59" s="116">
        <f t="shared" si="1"/>
        <v>9080</v>
      </c>
      <c r="G59" s="45">
        <v>9080</v>
      </c>
      <c r="H59" s="45"/>
      <c r="I59" s="45"/>
    </row>
    <row r="60" spans="1:9" ht="15.75" customHeight="1" x14ac:dyDescent="0.25">
      <c r="A60" s="166" t="s">
        <v>183</v>
      </c>
      <c r="B60" s="43" t="s">
        <v>165</v>
      </c>
      <c r="C60" s="43" t="s">
        <v>166</v>
      </c>
      <c r="D60" s="55" t="s">
        <v>236</v>
      </c>
      <c r="E60" s="67" t="s">
        <v>5</v>
      </c>
      <c r="F60" s="116">
        <f t="shared" si="1"/>
        <v>15790</v>
      </c>
      <c r="G60" s="45">
        <f>14290+1500</f>
        <v>15790</v>
      </c>
      <c r="H60" s="45"/>
      <c r="I60" s="45"/>
    </row>
    <row r="61" spans="1:9" ht="15.75" customHeight="1" x14ac:dyDescent="0.25">
      <c r="A61" s="166" t="s">
        <v>252</v>
      </c>
      <c r="B61" s="43" t="s">
        <v>165</v>
      </c>
      <c r="C61" s="43" t="s">
        <v>166</v>
      </c>
      <c r="D61" s="55" t="s">
        <v>237</v>
      </c>
      <c r="E61" s="68" t="s">
        <v>5</v>
      </c>
      <c r="F61" s="45">
        <f t="shared" si="1"/>
        <v>7210</v>
      </c>
      <c r="G61" s="45">
        <f>6910+300</f>
        <v>7210</v>
      </c>
      <c r="H61" s="45"/>
      <c r="I61" s="45"/>
    </row>
    <row r="62" spans="1:9" ht="14.25" customHeight="1" x14ac:dyDescent="0.25">
      <c r="A62" s="166" t="s">
        <v>253</v>
      </c>
      <c r="B62" s="43" t="s">
        <v>165</v>
      </c>
      <c r="C62" s="43" t="s">
        <v>166</v>
      </c>
      <c r="D62" s="55" t="s">
        <v>249</v>
      </c>
      <c r="E62" s="68" t="s">
        <v>5</v>
      </c>
      <c r="F62" s="45">
        <f t="shared" si="1"/>
        <v>136890</v>
      </c>
      <c r="G62" s="45">
        <f>116890+20000</f>
        <v>136890</v>
      </c>
      <c r="H62" s="45"/>
      <c r="I62" s="45"/>
    </row>
    <row r="63" spans="1:9" ht="15.75" customHeight="1" x14ac:dyDescent="0.25">
      <c r="A63" s="166" t="s">
        <v>254</v>
      </c>
      <c r="B63" s="43" t="s">
        <v>165</v>
      </c>
      <c r="C63" s="43" t="s">
        <v>166</v>
      </c>
      <c r="D63" s="55" t="s">
        <v>238</v>
      </c>
      <c r="E63" s="67" t="s">
        <v>5</v>
      </c>
      <c r="F63" s="45">
        <f t="shared" si="1"/>
        <v>17605</v>
      </c>
      <c r="G63" s="45">
        <f>17450+155</f>
        <v>17605</v>
      </c>
      <c r="H63" s="45"/>
      <c r="I63" s="45"/>
    </row>
    <row r="64" spans="1:9" ht="15.75" customHeight="1" x14ac:dyDescent="0.25">
      <c r="A64" s="166" t="s">
        <v>255</v>
      </c>
      <c r="B64" s="43" t="s">
        <v>165</v>
      </c>
      <c r="C64" s="43" t="s">
        <v>166</v>
      </c>
      <c r="D64" s="55" t="s">
        <v>239</v>
      </c>
      <c r="E64" s="67" t="s">
        <v>5</v>
      </c>
      <c r="F64" s="115">
        <f t="shared" si="1"/>
        <v>5152</v>
      </c>
      <c r="G64" s="45">
        <f>5000+152</f>
        <v>5152</v>
      </c>
      <c r="H64" s="45"/>
      <c r="I64" s="45"/>
    </row>
    <row r="65" spans="1:9" ht="15.75" customHeight="1" x14ac:dyDescent="0.25">
      <c r="A65" s="166" t="s">
        <v>256</v>
      </c>
      <c r="B65" s="43" t="s">
        <v>165</v>
      </c>
      <c r="C65" s="43" t="s">
        <v>166</v>
      </c>
      <c r="D65" s="55" t="s">
        <v>240</v>
      </c>
      <c r="E65" s="67" t="s">
        <v>5</v>
      </c>
      <c r="F65" s="115">
        <f t="shared" si="1"/>
        <v>27400</v>
      </c>
      <c r="G65" s="45">
        <v>27400</v>
      </c>
      <c r="H65" s="45"/>
      <c r="I65" s="45"/>
    </row>
    <row r="66" spans="1:9" ht="15.75" customHeight="1" x14ac:dyDescent="0.25">
      <c r="A66" s="166" t="s">
        <v>257</v>
      </c>
      <c r="B66" s="43" t="s">
        <v>165</v>
      </c>
      <c r="C66" s="43" t="s">
        <v>166</v>
      </c>
      <c r="D66" s="55" t="s">
        <v>241</v>
      </c>
      <c r="E66" s="67" t="s">
        <v>5</v>
      </c>
      <c r="F66" s="115">
        <f t="shared" si="1"/>
        <v>2700</v>
      </c>
      <c r="G66" s="45">
        <v>2700</v>
      </c>
      <c r="H66" s="45"/>
      <c r="I66" s="45"/>
    </row>
    <row r="67" spans="1:9" ht="15.75" customHeight="1" x14ac:dyDescent="0.25">
      <c r="A67" s="166" t="s">
        <v>258</v>
      </c>
      <c r="B67" s="43" t="s">
        <v>165</v>
      </c>
      <c r="C67" s="43" t="s">
        <v>166</v>
      </c>
      <c r="D67" s="55" t="s">
        <v>242</v>
      </c>
      <c r="E67" s="67" t="s">
        <v>5</v>
      </c>
      <c r="F67" s="115">
        <f t="shared" si="1"/>
        <v>17745</v>
      </c>
      <c r="G67" s="45">
        <f>21000-3255</f>
        <v>17745</v>
      </c>
      <c r="H67" s="45"/>
      <c r="I67" s="45"/>
    </row>
    <row r="68" spans="1:9" ht="15.75" customHeight="1" x14ac:dyDescent="0.25">
      <c r="A68" s="166" t="s">
        <v>259</v>
      </c>
      <c r="B68" s="43" t="s">
        <v>165</v>
      </c>
      <c r="C68" s="43" t="s">
        <v>166</v>
      </c>
      <c r="D68" s="55" t="s">
        <v>243</v>
      </c>
      <c r="E68" s="67" t="s">
        <v>5</v>
      </c>
      <c r="F68" s="116">
        <f t="shared" si="1"/>
        <v>4695</v>
      </c>
      <c r="G68" s="45">
        <f>4400+295</f>
        <v>4695</v>
      </c>
      <c r="H68" s="45"/>
      <c r="I68" s="45"/>
    </row>
    <row r="69" spans="1:9" ht="13.5" customHeight="1" x14ac:dyDescent="0.25">
      <c r="A69" s="166" t="s">
        <v>260</v>
      </c>
      <c r="B69" s="177" t="s">
        <v>165</v>
      </c>
      <c r="C69" s="177" t="s">
        <v>166</v>
      </c>
      <c r="D69" s="55" t="s">
        <v>244</v>
      </c>
      <c r="E69" s="68" t="s">
        <v>5</v>
      </c>
      <c r="F69" s="45">
        <f t="shared" si="1"/>
        <v>5400</v>
      </c>
      <c r="G69" s="45">
        <f>4200+1200</f>
        <v>5400</v>
      </c>
      <c r="H69" s="45"/>
      <c r="I69" s="45"/>
    </row>
    <row r="70" spans="1:9" ht="13.5" customHeight="1" x14ac:dyDescent="0.25">
      <c r="A70" s="166" t="s">
        <v>261</v>
      </c>
      <c r="B70" s="177" t="s">
        <v>165</v>
      </c>
      <c r="C70" s="177" t="s">
        <v>166</v>
      </c>
      <c r="D70" s="55" t="s">
        <v>245</v>
      </c>
      <c r="E70" s="68" t="s">
        <v>5</v>
      </c>
      <c r="F70" s="45">
        <f t="shared" si="1"/>
        <v>53700</v>
      </c>
      <c r="G70" s="45">
        <f>79000-25300</f>
        <v>53700</v>
      </c>
      <c r="H70" s="45"/>
      <c r="I70" s="45"/>
    </row>
    <row r="71" spans="1:9" ht="13.5" customHeight="1" x14ac:dyDescent="0.25">
      <c r="A71" s="166" t="s">
        <v>262</v>
      </c>
      <c r="B71" s="43" t="s">
        <v>165</v>
      </c>
      <c r="C71" s="43" t="s">
        <v>166</v>
      </c>
      <c r="D71" s="55" t="s">
        <v>246</v>
      </c>
      <c r="E71" s="67" t="s">
        <v>5</v>
      </c>
      <c r="F71" s="45">
        <f t="shared" si="1"/>
        <v>33420</v>
      </c>
      <c r="G71" s="118">
        <f>8120+25300</f>
        <v>33420</v>
      </c>
      <c r="H71" s="45"/>
      <c r="I71" s="45"/>
    </row>
    <row r="72" spans="1:9" ht="15.75" customHeight="1" x14ac:dyDescent="0.25">
      <c r="A72" s="166" t="s">
        <v>263</v>
      </c>
      <c r="B72" s="43" t="s">
        <v>165</v>
      </c>
      <c r="C72" s="43" t="s">
        <v>166</v>
      </c>
      <c r="D72" s="55" t="s">
        <v>8</v>
      </c>
      <c r="E72" s="67" t="s">
        <v>157</v>
      </c>
      <c r="F72" s="45">
        <f t="shared" si="1"/>
        <v>102235</v>
      </c>
      <c r="G72" s="45">
        <f>53269+8915+17500</f>
        <v>79684</v>
      </c>
      <c r="H72" s="45"/>
      <c r="I72" s="45">
        <f>32731-10180</f>
        <v>22551</v>
      </c>
    </row>
    <row r="73" spans="1:9" ht="17.25" customHeight="1" x14ac:dyDescent="0.25">
      <c r="A73" s="166" t="s">
        <v>264</v>
      </c>
      <c r="B73" s="43" t="s">
        <v>48</v>
      </c>
      <c r="C73" s="43" t="s">
        <v>161</v>
      </c>
      <c r="D73" s="55" t="s">
        <v>8</v>
      </c>
      <c r="E73" s="70" t="s">
        <v>72</v>
      </c>
      <c r="F73" s="45">
        <f t="shared" si="1"/>
        <v>49000</v>
      </c>
      <c r="G73" s="45">
        <f>10000+39000</f>
        <v>49000</v>
      </c>
      <c r="H73" s="45"/>
      <c r="I73" s="45"/>
    </row>
    <row r="74" spans="1:9" ht="15.75" customHeight="1" x14ac:dyDescent="0.25">
      <c r="A74" s="166" t="s">
        <v>265</v>
      </c>
      <c r="B74" s="43" t="s">
        <v>48</v>
      </c>
      <c r="C74" s="43" t="s">
        <v>161</v>
      </c>
      <c r="D74" s="55" t="s">
        <v>8</v>
      </c>
      <c r="E74" s="70" t="s">
        <v>30</v>
      </c>
      <c r="F74" s="45">
        <f t="shared" si="1"/>
        <v>14000</v>
      </c>
      <c r="G74" s="45">
        <v>14000</v>
      </c>
      <c r="H74" s="45"/>
      <c r="I74" s="45"/>
    </row>
    <row r="75" spans="1:9" ht="15.75" customHeight="1" x14ac:dyDescent="0.25">
      <c r="A75" s="166" t="s">
        <v>266</v>
      </c>
      <c r="B75" s="43" t="s">
        <v>48</v>
      </c>
      <c r="C75" s="43" t="s">
        <v>161</v>
      </c>
      <c r="D75" s="55" t="s">
        <v>8</v>
      </c>
      <c r="E75" s="67" t="s">
        <v>190</v>
      </c>
      <c r="F75" s="45">
        <f t="shared" si="1"/>
        <v>10000</v>
      </c>
      <c r="G75" s="45">
        <v>10000</v>
      </c>
      <c r="H75" s="45"/>
      <c r="I75" s="45"/>
    </row>
    <row r="76" spans="1:9" ht="15.75" customHeight="1" x14ac:dyDescent="0.25">
      <c r="A76" s="166" t="s">
        <v>267</v>
      </c>
      <c r="B76" s="43" t="s">
        <v>127</v>
      </c>
      <c r="C76" s="43" t="s">
        <v>161</v>
      </c>
      <c r="D76" s="55" t="s">
        <v>8</v>
      </c>
      <c r="E76" s="71" t="s">
        <v>14</v>
      </c>
      <c r="F76" s="116">
        <f t="shared" ref="F76:F105" si="2">SUM(G76+I76)</f>
        <v>39060</v>
      </c>
      <c r="G76" s="45">
        <f>37660+1400</f>
        <v>39060</v>
      </c>
      <c r="H76" s="45">
        <f>28750+550</f>
        <v>29300</v>
      </c>
      <c r="I76" s="45"/>
    </row>
    <row r="77" spans="1:9" ht="15" customHeight="1" x14ac:dyDescent="0.25">
      <c r="A77" s="166" t="s">
        <v>268</v>
      </c>
      <c r="B77" s="43" t="s">
        <v>48</v>
      </c>
      <c r="C77" s="43" t="s">
        <v>161</v>
      </c>
      <c r="D77" s="67" t="s">
        <v>122</v>
      </c>
      <c r="E77" s="67" t="s">
        <v>15</v>
      </c>
      <c r="F77" s="116">
        <f t="shared" si="2"/>
        <v>42200</v>
      </c>
      <c r="G77" s="45">
        <f>40900+1300-3000</f>
        <v>39200</v>
      </c>
      <c r="H77" s="45">
        <f>27960+1000</f>
        <v>28960</v>
      </c>
      <c r="I77" s="45">
        <v>3000</v>
      </c>
    </row>
    <row r="78" spans="1:9" ht="15" customHeight="1" x14ac:dyDescent="0.25">
      <c r="A78" s="166" t="s">
        <v>269</v>
      </c>
      <c r="B78" s="43" t="s">
        <v>49</v>
      </c>
      <c r="C78" s="43" t="s">
        <v>165</v>
      </c>
      <c r="D78" s="55" t="s">
        <v>8</v>
      </c>
      <c r="E78" s="55" t="s">
        <v>158</v>
      </c>
      <c r="F78" s="116">
        <f t="shared" si="2"/>
        <v>1205770</v>
      </c>
      <c r="G78" s="45">
        <f>1167050+26720+12000</f>
        <v>1205770</v>
      </c>
      <c r="H78" s="45"/>
      <c r="I78" s="45"/>
    </row>
    <row r="79" spans="1:9" ht="15" customHeight="1" x14ac:dyDescent="0.25">
      <c r="A79" s="166" t="s">
        <v>270</v>
      </c>
      <c r="B79" s="43" t="s">
        <v>49</v>
      </c>
      <c r="C79" s="148" t="s">
        <v>165</v>
      </c>
      <c r="D79" s="55" t="s">
        <v>8</v>
      </c>
      <c r="E79" s="65" t="s">
        <v>26</v>
      </c>
      <c r="F79" s="116">
        <f t="shared" si="2"/>
        <v>15000</v>
      </c>
      <c r="G79" s="45">
        <v>15000</v>
      </c>
      <c r="H79" s="45"/>
      <c r="I79" s="45"/>
    </row>
    <row r="80" spans="1:9" ht="15" customHeight="1" x14ac:dyDescent="0.25">
      <c r="A80" s="166" t="s">
        <v>271</v>
      </c>
      <c r="B80" s="148" t="s">
        <v>49</v>
      </c>
      <c r="C80" s="43" t="s">
        <v>165</v>
      </c>
      <c r="D80" s="55" t="s">
        <v>8</v>
      </c>
      <c r="E80" s="65" t="s">
        <v>423</v>
      </c>
      <c r="F80" s="116">
        <f t="shared" si="2"/>
        <v>37000</v>
      </c>
      <c r="G80" s="45">
        <v>37000</v>
      </c>
      <c r="H80" s="45"/>
      <c r="I80" s="45"/>
    </row>
    <row r="81" spans="1:9" ht="15.75" customHeight="1" x14ac:dyDescent="0.25">
      <c r="A81" s="166" t="s">
        <v>272</v>
      </c>
      <c r="B81" s="43" t="s">
        <v>49</v>
      </c>
      <c r="C81" s="43" t="s">
        <v>165</v>
      </c>
      <c r="D81" s="63" t="s">
        <v>8</v>
      </c>
      <c r="E81" s="55" t="s">
        <v>391</v>
      </c>
      <c r="F81" s="116">
        <f t="shared" si="2"/>
        <v>27000</v>
      </c>
      <c r="G81" s="45">
        <v>27000</v>
      </c>
      <c r="H81" s="45"/>
      <c r="I81" s="45"/>
    </row>
    <row r="82" spans="1:9" ht="15" customHeight="1" x14ac:dyDescent="0.25">
      <c r="A82" s="166" t="s">
        <v>273</v>
      </c>
      <c r="B82" s="43" t="s">
        <v>49</v>
      </c>
      <c r="C82" s="43" t="s">
        <v>165</v>
      </c>
      <c r="D82" s="5" t="s">
        <v>18</v>
      </c>
      <c r="E82" s="5" t="s">
        <v>175</v>
      </c>
      <c r="F82" s="45">
        <f t="shared" si="2"/>
        <v>1173489</v>
      </c>
      <c r="G82" s="45">
        <f>1109300+20990+43199</f>
        <v>1173489</v>
      </c>
      <c r="H82" s="45">
        <v>707210</v>
      </c>
      <c r="I82" s="45"/>
    </row>
    <row r="83" spans="1:9" ht="15" customHeight="1" x14ac:dyDescent="0.25">
      <c r="A83" s="166" t="s">
        <v>274</v>
      </c>
      <c r="B83" s="43" t="s">
        <v>49</v>
      </c>
      <c r="C83" s="43" t="s">
        <v>165</v>
      </c>
      <c r="D83" s="70" t="s">
        <v>19</v>
      </c>
      <c r="E83" s="5" t="s">
        <v>6</v>
      </c>
      <c r="F83" s="116">
        <f t="shared" si="2"/>
        <v>246550</v>
      </c>
      <c r="G83" s="45">
        <f>221050+500+19000</f>
        <v>240550</v>
      </c>
      <c r="H83" s="45">
        <f>135440+5100</f>
        <v>140540</v>
      </c>
      <c r="I83" s="45">
        <f>3000+3000</f>
        <v>6000</v>
      </c>
    </row>
    <row r="84" spans="1:9" ht="15" customHeight="1" x14ac:dyDescent="0.25">
      <c r="A84" s="166" t="s">
        <v>275</v>
      </c>
      <c r="B84" s="43" t="s">
        <v>49</v>
      </c>
      <c r="C84" s="43" t="s">
        <v>165</v>
      </c>
      <c r="D84" s="59" t="s">
        <v>24</v>
      </c>
      <c r="E84" s="5" t="s">
        <v>31</v>
      </c>
      <c r="F84" s="116">
        <f t="shared" si="2"/>
        <v>3100</v>
      </c>
      <c r="G84" s="45">
        <v>3100</v>
      </c>
      <c r="H84" s="45"/>
      <c r="I84" s="45"/>
    </row>
    <row r="85" spans="1:9" ht="15" customHeight="1" x14ac:dyDescent="0.25">
      <c r="A85" s="166" t="s">
        <v>276</v>
      </c>
      <c r="B85" s="43" t="s">
        <v>50</v>
      </c>
      <c r="C85" s="43" t="s">
        <v>165</v>
      </c>
      <c r="D85" s="55" t="s">
        <v>8</v>
      </c>
      <c r="E85" s="65" t="s">
        <v>399</v>
      </c>
      <c r="F85" s="45">
        <f t="shared" si="2"/>
        <v>113258</v>
      </c>
      <c r="G85" s="45">
        <f>75906+8346+16700+11706+600</f>
        <v>113258</v>
      </c>
      <c r="H85" s="45"/>
      <c r="I85" s="45"/>
    </row>
    <row r="86" spans="1:9" ht="15" customHeight="1" x14ac:dyDescent="0.25">
      <c r="A86" s="166" t="s">
        <v>277</v>
      </c>
      <c r="B86" s="43" t="s">
        <v>50</v>
      </c>
      <c r="C86" s="43" t="s">
        <v>165</v>
      </c>
      <c r="D86" s="55" t="s">
        <v>8</v>
      </c>
      <c r="E86" s="65" t="s">
        <v>337</v>
      </c>
      <c r="F86" s="45">
        <f t="shared" si="2"/>
        <v>42000</v>
      </c>
      <c r="G86" s="45">
        <f>30000+12000</f>
        <v>42000</v>
      </c>
      <c r="H86" s="45"/>
      <c r="I86" s="45"/>
    </row>
    <row r="87" spans="1:9" ht="15" customHeight="1" x14ac:dyDescent="0.25">
      <c r="A87" s="166" t="s">
        <v>330</v>
      </c>
      <c r="B87" s="43" t="s">
        <v>50</v>
      </c>
      <c r="C87" s="43" t="s">
        <v>165</v>
      </c>
      <c r="D87" s="55" t="s">
        <v>8</v>
      </c>
      <c r="E87" s="5" t="s">
        <v>338</v>
      </c>
      <c r="F87" s="45">
        <f t="shared" si="2"/>
        <v>23400</v>
      </c>
      <c r="G87" s="45">
        <v>23400</v>
      </c>
      <c r="H87" s="45"/>
      <c r="I87" s="45"/>
    </row>
    <row r="88" spans="1:9" ht="30.75" customHeight="1" x14ac:dyDescent="0.25">
      <c r="A88" s="166" t="s">
        <v>278</v>
      </c>
      <c r="B88" s="43" t="s">
        <v>51</v>
      </c>
      <c r="C88" s="43" t="s">
        <v>162</v>
      </c>
      <c r="D88" s="72" t="s">
        <v>368</v>
      </c>
      <c r="E88" s="73" t="s">
        <v>185</v>
      </c>
      <c r="F88" s="116">
        <f t="shared" si="2"/>
        <v>912811</v>
      </c>
      <c r="G88" s="45">
        <f>743300+35137+62952+71422</f>
        <v>912811</v>
      </c>
      <c r="H88" s="45">
        <f>467200+30000</f>
        <v>497200</v>
      </c>
      <c r="I88" s="45"/>
    </row>
    <row r="89" spans="1:9" ht="30.75" customHeight="1" x14ac:dyDescent="0.25">
      <c r="A89" s="166" t="s">
        <v>279</v>
      </c>
      <c r="B89" s="43" t="s">
        <v>51</v>
      </c>
      <c r="C89" s="43" t="s">
        <v>162</v>
      </c>
      <c r="D89" s="55" t="s">
        <v>369</v>
      </c>
      <c r="E89" s="73" t="s">
        <v>185</v>
      </c>
      <c r="F89" s="116">
        <f t="shared" si="2"/>
        <v>736046</v>
      </c>
      <c r="G89" s="45">
        <f>637900+21146+990+76010</f>
        <v>736046</v>
      </c>
      <c r="H89" s="45">
        <f>378360+36500</f>
        <v>414860</v>
      </c>
      <c r="I89" s="45"/>
    </row>
    <row r="90" spans="1:9" ht="19.5" customHeight="1" x14ac:dyDescent="0.25">
      <c r="A90" s="166" t="s">
        <v>280</v>
      </c>
      <c r="B90" s="43" t="s">
        <v>51</v>
      </c>
      <c r="C90" s="43" t="s">
        <v>162</v>
      </c>
      <c r="D90" s="55" t="s">
        <v>370</v>
      </c>
      <c r="E90" s="73" t="s">
        <v>186</v>
      </c>
      <c r="F90" s="116">
        <f t="shared" si="2"/>
        <v>124900</v>
      </c>
      <c r="G90" s="45">
        <f>117500+7400</f>
        <v>124900</v>
      </c>
      <c r="H90" s="45">
        <f>68970+5600</f>
        <v>74570</v>
      </c>
      <c r="I90" s="45"/>
    </row>
    <row r="91" spans="1:9" ht="33" customHeight="1" x14ac:dyDescent="0.25">
      <c r="A91" s="166" t="s">
        <v>281</v>
      </c>
      <c r="B91" s="43" t="s">
        <v>51</v>
      </c>
      <c r="C91" s="43" t="s">
        <v>162</v>
      </c>
      <c r="D91" s="55" t="s">
        <v>371</v>
      </c>
      <c r="E91" s="5" t="s">
        <v>186</v>
      </c>
      <c r="F91" s="45">
        <f t="shared" si="2"/>
        <v>356063</v>
      </c>
      <c r="G91" s="45">
        <f>324300+11978+19785</f>
        <v>356063</v>
      </c>
      <c r="H91" s="45">
        <f>186880+10700</f>
        <v>197580</v>
      </c>
      <c r="I91" s="45"/>
    </row>
    <row r="92" spans="1:9" ht="17.25" customHeight="1" x14ac:dyDescent="0.25">
      <c r="A92" s="166" t="s">
        <v>282</v>
      </c>
      <c r="B92" s="43" t="s">
        <v>51</v>
      </c>
      <c r="C92" s="43" t="s">
        <v>162</v>
      </c>
      <c r="D92" s="55" t="s">
        <v>372</v>
      </c>
      <c r="E92" s="5" t="s">
        <v>455</v>
      </c>
      <c r="F92" s="45">
        <f t="shared" si="2"/>
        <v>882732</v>
      </c>
      <c r="G92" s="45">
        <f>215000+24609-1423</f>
        <v>238186</v>
      </c>
      <c r="H92" s="45">
        <f>93500+8308</f>
        <v>101808</v>
      </c>
      <c r="I92" s="45">
        <f>681600-37054</f>
        <v>644546</v>
      </c>
    </row>
    <row r="93" spans="1:9" ht="15.75" customHeight="1" x14ac:dyDescent="0.25">
      <c r="A93" s="166" t="s">
        <v>283</v>
      </c>
      <c r="B93" s="43" t="s">
        <v>51</v>
      </c>
      <c r="C93" s="43" t="s">
        <v>162</v>
      </c>
      <c r="D93" s="55" t="s">
        <v>373</v>
      </c>
      <c r="E93" s="5" t="s">
        <v>455</v>
      </c>
      <c r="F93" s="45">
        <f t="shared" si="2"/>
        <v>115373</v>
      </c>
      <c r="G93" s="45">
        <f>112700+2673</f>
        <v>115373</v>
      </c>
      <c r="H93" s="45">
        <v>63850</v>
      </c>
      <c r="I93" s="45"/>
    </row>
    <row r="94" spans="1:9" ht="31.5" customHeight="1" x14ac:dyDescent="0.25">
      <c r="A94" s="166" t="s">
        <v>284</v>
      </c>
      <c r="B94" s="43" t="s">
        <v>51</v>
      </c>
      <c r="C94" s="43" t="s">
        <v>162</v>
      </c>
      <c r="D94" s="55" t="s">
        <v>374</v>
      </c>
      <c r="E94" s="5" t="s">
        <v>455</v>
      </c>
      <c r="F94" s="45">
        <f t="shared" si="2"/>
        <v>285336</v>
      </c>
      <c r="G94" s="45">
        <f>234900+20918+2420+25598</f>
        <v>283836</v>
      </c>
      <c r="H94" s="45">
        <f>121000+4565</f>
        <v>125565</v>
      </c>
      <c r="I94" s="45">
        <v>1500</v>
      </c>
    </row>
    <row r="95" spans="1:9" ht="15.75" customHeight="1" x14ac:dyDescent="0.25">
      <c r="A95" s="166" t="s">
        <v>285</v>
      </c>
      <c r="B95" s="43" t="s">
        <v>51</v>
      </c>
      <c r="C95" s="43" t="s">
        <v>162</v>
      </c>
      <c r="D95" s="74" t="s">
        <v>375</v>
      </c>
      <c r="E95" s="5" t="s">
        <v>455</v>
      </c>
      <c r="F95" s="115">
        <f t="shared" si="2"/>
        <v>385779</v>
      </c>
      <c r="G95" s="45">
        <f>345677+3461+11227</f>
        <v>360365</v>
      </c>
      <c r="H95" s="45">
        <v>170420</v>
      </c>
      <c r="I95" s="45">
        <f>22610+2804</f>
        <v>25414</v>
      </c>
    </row>
    <row r="96" spans="1:9" ht="15.75" customHeight="1" x14ac:dyDescent="0.25">
      <c r="A96" s="194" t="s">
        <v>286</v>
      </c>
      <c r="B96" s="43" t="s">
        <v>51</v>
      </c>
      <c r="C96" s="43" t="s">
        <v>162</v>
      </c>
      <c r="D96" s="74" t="s">
        <v>376</v>
      </c>
      <c r="E96" s="5" t="s">
        <v>455</v>
      </c>
      <c r="F96" s="115">
        <f t="shared" si="2"/>
        <v>220629</v>
      </c>
      <c r="G96" s="45">
        <f>189000+3009+16500+9920</f>
        <v>218429</v>
      </c>
      <c r="H96" s="45">
        <v>105640</v>
      </c>
      <c r="I96" s="45">
        <v>2200</v>
      </c>
    </row>
    <row r="97" spans="1:9" ht="15.75" customHeight="1" x14ac:dyDescent="0.25">
      <c r="A97" s="194" t="s">
        <v>287</v>
      </c>
      <c r="B97" s="43" t="s">
        <v>51</v>
      </c>
      <c r="C97" s="43" t="s">
        <v>162</v>
      </c>
      <c r="D97" s="55" t="s">
        <v>377</v>
      </c>
      <c r="E97" s="5" t="s">
        <v>455</v>
      </c>
      <c r="F97" s="115">
        <f t="shared" si="2"/>
        <v>148372</v>
      </c>
      <c r="G97" s="45">
        <f>120400+3000+16500+8472</f>
        <v>148372</v>
      </c>
      <c r="H97" s="45">
        <f>59120+1500</f>
        <v>60620</v>
      </c>
      <c r="I97" s="45"/>
    </row>
    <row r="98" spans="1:9" ht="15.75" customHeight="1" x14ac:dyDescent="0.25">
      <c r="A98" s="194" t="s">
        <v>288</v>
      </c>
      <c r="B98" s="43" t="s">
        <v>51</v>
      </c>
      <c r="C98" s="43" t="s">
        <v>162</v>
      </c>
      <c r="D98" s="5" t="s">
        <v>378</v>
      </c>
      <c r="E98" s="5" t="s">
        <v>455</v>
      </c>
      <c r="F98" s="115">
        <f t="shared" si="2"/>
        <v>312505</v>
      </c>
      <c r="G98" s="45">
        <f>281000+31505</f>
        <v>312505</v>
      </c>
      <c r="H98" s="45">
        <f>163770+11750</f>
        <v>175520</v>
      </c>
      <c r="I98" s="45"/>
    </row>
    <row r="99" spans="1:9" ht="15.75" customHeight="1" x14ac:dyDescent="0.25">
      <c r="A99" s="194" t="s">
        <v>289</v>
      </c>
      <c r="B99" s="43" t="s">
        <v>51</v>
      </c>
      <c r="C99" s="43" t="s">
        <v>162</v>
      </c>
      <c r="D99" s="5" t="s">
        <v>379</v>
      </c>
      <c r="E99" s="5" t="s">
        <v>455</v>
      </c>
      <c r="F99" s="116">
        <f t="shared" si="2"/>
        <v>395891</v>
      </c>
      <c r="G99" s="45">
        <f>384850+11041</f>
        <v>395891</v>
      </c>
      <c r="H99" s="45">
        <v>182340</v>
      </c>
      <c r="I99" s="45"/>
    </row>
    <row r="100" spans="1:9" ht="15.75" customHeight="1" x14ac:dyDescent="0.25">
      <c r="A100" s="194" t="s">
        <v>290</v>
      </c>
      <c r="B100" s="177" t="s">
        <v>51</v>
      </c>
      <c r="C100" s="177" t="s">
        <v>162</v>
      </c>
      <c r="D100" s="5" t="s">
        <v>323</v>
      </c>
      <c r="E100" s="5" t="s">
        <v>455</v>
      </c>
      <c r="F100" s="45">
        <f t="shared" si="2"/>
        <v>807887</v>
      </c>
      <c r="G100" s="45">
        <f>679670+8463+2630+48100-1807</f>
        <v>737056</v>
      </c>
      <c r="H100" s="45">
        <f>321500+12500</f>
        <v>334000</v>
      </c>
      <c r="I100" s="45">
        <f>11890+6050-2630+6213+49308</f>
        <v>70831</v>
      </c>
    </row>
    <row r="101" spans="1:9" ht="30" customHeight="1" x14ac:dyDescent="0.25">
      <c r="A101" s="194" t="s">
        <v>291</v>
      </c>
      <c r="B101" s="177" t="s">
        <v>51</v>
      </c>
      <c r="C101" s="177" t="s">
        <v>162</v>
      </c>
      <c r="D101" s="55" t="s">
        <v>381</v>
      </c>
      <c r="E101" s="5" t="s">
        <v>455</v>
      </c>
      <c r="F101" s="45">
        <f t="shared" si="2"/>
        <v>924883</v>
      </c>
      <c r="G101" s="45">
        <f>563520+2700+20483+23240</f>
        <v>609943</v>
      </c>
      <c r="H101" s="45">
        <f>294100+5000</f>
        <v>299100</v>
      </c>
      <c r="I101" s="45">
        <f>270000+38841+6099</f>
        <v>314940</v>
      </c>
    </row>
    <row r="102" spans="1:9" ht="33.75" customHeight="1" x14ac:dyDescent="0.25">
      <c r="A102" s="194" t="s">
        <v>292</v>
      </c>
      <c r="B102" s="43" t="s">
        <v>51</v>
      </c>
      <c r="C102" s="43" t="s">
        <v>162</v>
      </c>
      <c r="D102" s="55" t="s">
        <v>380</v>
      </c>
      <c r="E102" s="5" t="s">
        <v>455</v>
      </c>
      <c r="F102" s="116">
        <f t="shared" si="2"/>
        <v>914684</v>
      </c>
      <c r="G102" s="45">
        <f>765436+47844+450+74440+16133-11900</f>
        <v>892403</v>
      </c>
      <c r="H102" s="45">
        <f>355850+21810</f>
        <v>377660</v>
      </c>
      <c r="I102" s="45">
        <f>17964+3867+450</f>
        <v>22281</v>
      </c>
    </row>
    <row r="103" spans="1:9" ht="14.25" customHeight="1" x14ac:dyDescent="0.25">
      <c r="A103" s="194" t="s">
        <v>293</v>
      </c>
      <c r="B103" s="43" t="s">
        <v>51</v>
      </c>
      <c r="C103" s="43" t="s">
        <v>162</v>
      </c>
      <c r="D103" s="74" t="s">
        <v>28</v>
      </c>
      <c r="E103" s="70" t="s">
        <v>173</v>
      </c>
      <c r="F103" s="116">
        <f t="shared" si="2"/>
        <v>937640</v>
      </c>
      <c r="G103" s="45">
        <f>927040+9805</f>
        <v>936845</v>
      </c>
      <c r="H103" s="45">
        <v>715100</v>
      </c>
      <c r="I103" s="45">
        <v>795</v>
      </c>
    </row>
    <row r="104" spans="1:9" ht="15" customHeight="1" x14ac:dyDescent="0.25">
      <c r="A104" s="194" t="s">
        <v>294</v>
      </c>
      <c r="B104" s="43" t="s">
        <v>49</v>
      </c>
      <c r="C104" s="43" t="s">
        <v>162</v>
      </c>
      <c r="D104" s="75" t="s">
        <v>24</v>
      </c>
      <c r="E104" s="70" t="s">
        <v>173</v>
      </c>
      <c r="F104" s="116">
        <f t="shared" si="2"/>
        <v>444474</v>
      </c>
      <c r="G104" s="45">
        <v>440874</v>
      </c>
      <c r="H104" s="45">
        <v>247705</v>
      </c>
      <c r="I104" s="45">
        <v>3600</v>
      </c>
    </row>
    <row r="105" spans="1:9" ht="15" customHeight="1" x14ac:dyDescent="0.25">
      <c r="A105" s="194" t="s">
        <v>295</v>
      </c>
      <c r="B105" s="194" t="s">
        <v>49</v>
      </c>
      <c r="C105" s="194" t="s">
        <v>162</v>
      </c>
      <c r="D105" s="59" t="s">
        <v>8</v>
      </c>
      <c r="E105" s="68" t="s">
        <v>479</v>
      </c>
      <c r="F105" s="116">
        <f t="shared" si="2"/>
        <v>391048</v>
      </c>
      <c r="G105" s="45">
        <f>300726+20000+5712+64610</f>
        <v>391048</v>
      </c>
      <c r="H105" s="45"/>
      <c r="I105" s="45"/>
    </row>
    <row r="106" spans="1:9" ht="15.75" customHeight="1" x14ac:dyDescent="0.25">
      <c r="A106" s="194" t="s">
        <v>296</v>
      </c>
      <c r="B106" s="43" t="s">
        <v>51</v>
      </c>
      <c r="C106" s="43" t="s">
        <v>162</v>
      </c>
      <c r="D106" s="59" t="s">
        <v>8</v>
      </c>
      <c r="E106" s="68" t="s">
        <v>73</v>
      </c>
      <c r="F106" s="116">
        <f t="shared" ref="F106:F124" si="3">SUM(G106+I106)</f>
        <v>154500</v>
      </c>
      <c r="G106" s="45">
        <v>154500</v>
      </c>
      <c r="H106" s="45"/>
      <c r="I106" s="45"/>
    </row>
    <row r="107" spans="1:9" ht="15.75" customHeight="1" x14ac:dyDescent="0.25">
      <c r="A107" s="194" t="s">
        <v>297</v>
      </c>
      <c r="B107" s="43" t="s">
        <v>51</v>
      </c>
      <c r="C107" s="43" t="s">
        <v>162</v>
      </c>
      <c r="D107" s="59" t="s">
        <v>8</v>
      </c>
      <c r="E107" s="76" t="s">
        <v>223</v>
      </c>
      <c r="F107" s="116">
        <f t="shared" si="3"/>
        <v>524680</v>
      </c>
      <c r="G107" s="45">
        <f>440000+54680+30000</f>
        <v>524680</v>
      </c>
      <c r="H107" s="45"/>
      <c r="I107" s="45"/>
    </row>
    <row r="108" spans="1:9" ht="14.25" customHeight="1" x14ac:dyDescent="0.25">
      <c r="A108" s="194" t="s">
        <v>298</v>
      </c>
      <c r="B108" s="43" t="s">
        <v>51</v>
      </c>
      <c r="C108" s="43" t="s">
        <v>162</v>
      </c>
      <c r="D108" s="59" t="s">
        <v>8</v>
      </c>
      <c r="E108" s="67" t="s">
        <v>115</v>
      </c>
      <c r="F108" s="116">
        <f t="shared" si="3"/>
        <v>15000</v>
      </c>
      <c r="G108" s="45">
        <v>15000</v>
      </c>
      <c r="H108" s="45"/>
      <c r="I108" s="45"/>
    </row>
    <row r="109" spans="1:9" ht="15.75" customHeight="1" x14ac:dyDescent="0.25">
      <c r="A109" s="194" t="s">
        <v>299</v>
      </c>
      <c r="B109" s="43" t="s">
        <v>51</v>
      </c>
      <c r="C109" s="43" t="s">
        <v>162</v>
      </c>
      <c r="D109" s="63" t="s">
        <v>8</v>
      </c>
      <c r="E109" s="63" t="s">
        <v>172</v>
      </c>
      <c r="F109" s="45">
        <f t="shared" si="3"/>
        <v>10000</v>
      </c>
      <c r="G109" s="45">
        <v>10000</v>
      </c>
      <c r="H109" s="45"/>
      <c r="I109" s="45"/>
    </row>
    <row r="110" spans="1:9" ht="15.75" customHeight="1" x14ac:dyDescent="0.25">
      <c r="A110" s="194" t="s">
        <v>300</v>
      </c>
      <c r="B110" s="43" t="s">
        <v>127</v>
      </c>
      <c r="C110" s="43" t="s">
        <v>162</v>
      </c>
      <c r="D110" s="59" t="s">
        <v>8</v>
      </c>
      <c r="E110" s="58" t="s">
        <v>191</v>
      </c>
      <c r="F110" s="116">
        <f t="shared" si="3"/>
        <v>351000</v>
      </c>
      <c r="G110" s="45">
        <f>340000+11000</f>
        <v>351000</v>
      </c>
      <c r="H110" s="45">
        <f>200100+28000</f>
        <v>228100</v>
      </c>
      <c r="I110" s="45"/>
    </row>
    <row r="111" spans="1:9" ht="29.25" customHeight="1" x14ac:dyDescent="0.25">
      <c r="A111" s="166" t="s">
        <v>301</v>
      </c>
      <c r="B111" s="43" t="s">
        <v>52</v>
      </c>
      <c r="C111" s="43" t="s">
        <v>46</v>
      </c>
      <c r="D111" s="63" t="s">
        <v>117</v>
      </c>
      <c r="E111" s="68" t="s">
        <v>167</v>
      </c>
      <c r="F111" s="45">
        <f t="shared" si="3"/>
        <v>228854</v>
      </c>
      <c r="G111" s="45">
        <f>216000+10212+2642</f>
        <v>228854</v>
      </c>
      <c r="H111" s="45">
        <v>144000</v>
      </c>
      <c r="I111" s="45"/>
    </row>
    <row r="112" spans="1:9" ht="31.5" customHeight="1" x14ac:dyDescent="0.25">
      <c r="A112" s="194" t="s">
        <v>302</v>
      </c>
      <c r="B112" s="166" t="s">
        <v>50</v>
      </c>
      <c r="C112" s="166" t="s">
        <v>46</v>
      </c>
      <c r="D112" s="168" t="s">
        <v>8</v>
      </c>
      <c r="E112" s="169" t="s">
        <v>339</v>
      </c>
      <c r="F112" s="45">
        <f t="shared" si="3"/>
        <v>25000</v>
      </c>
      <c r="G112" s="45">
        <v>25000</v>
      </c>
      <c r="H112" s="117"/>
      <c r="I112" s="45"/>
    </row>
    <row r="113" spans="1:9" ht="16.5" customHeight="1" x14ac:dyDescent="0.25">
      <c r="A113" s="194" t="s">
        <v>303</v>
      </c>
      <c r="B113" s="77" t="s">
        <v>52</v>
      </c>
      <c r="C113" s="43" t="s">
        <v>46</v>
      </c>
      <c r="D113" s="78" t="s">
        <v>8</v>
      </c>
      <c r="E113" s="70" t="s">
        <v>171</v>
      </c>
      <c r="F113" s="116">
        <f t="shared" si="3"/>
        <v>384386</v>
      </c>
      <c r="G113" s="116">
        <f>318877+9935+20000+35574</f>
        <v>384386</v>
      </c>
      <c r="H113" s="117"/>
      <c r="I113" s="45"/>
    </row>
    <row r="114" spans="1:9" ht="16.5" customHeight="1" x14ac:dyDescent="0.25">
      <c r="A114" s="194" t="s">
        <v>304</v>
      </c>
      <c r="B114" s="77" t="s">
        <v>52</v>
      </c>
      <c r="C114" s="154" t="s">
        <v>46</v>
      </c>
      <c r="D114" s="78" t="s">
        <v>8</v>
      </c>
      <c r="E114" s="70" t="s">
        <v>174</v>
      </c>
      <c r="F114" s="116">
        <f t="shared" si="3"/>
        <v>278161</v>
      </c>
      <c r="G114" s="116">
        <f>168000+147000-39000+2161</f>
        <v>278161</v>
      </c>
      <c r="H114" s="117"/>
      <c r="I114" s="45"/>
    </row>
    <row r="115" spans="1:9" ht="16.5" customHeight="1" x14ac:dyDescent="0.25">
      <c r="A115" s="194" t="s">
        <v>305</v>
      </c>
      <c r="B115" s="77" t="s">
        <v>52</v>
      </c>
      <c r="C115" s="154" t="s">
        <v>46</v>
      </c>
      <c r="D115" s="78" t="s">
        <v>8</v>
      </c>
      <c r="E115" s="58" t="s">
        <v>178</v>
      </c>
      <c r="F115" s="116">
        <f t="shared" si="3"/>
        <v>120439</v>
      </c>
      <c r="G115" s="116">
        <f>122600-2161</f>
        <v>120439</v>
      </c>
      <c r="H115" s="117"/>
      <c r="I115" s="45"/>
    </row>
    <row r="116" spans="1:9" ht="16.5" customHeight="1" x14ac:dyDescent="0.25">
      <c r="A116" s="194" t="s">
        <v>306</v>
      </c>
      <c r="B116" s="77" t="s">
        <v>52</v>
      </c>
      <c r="C116" s="154" t="s">
        <v>46</v>
      </c>
      <c r="D116" s="78" t="s">
        <v>8</v>
      </c>
      <c r="E116" s="70" t="s">
        <v>453</v>
      </c>
      <c r="F116" s="116">
        <f t="shared" si="3"/>
        <v>182400</v>
      </c>
      <c r="G116" s="116">
        <f>150400+17000+15000</f>
        <v>182400</v>
      </c>
      <c r="H116" s="117"/>
      <c r="I116" s="45"/>
    </row>
    <row r="117" spans="1:9" ht="16.5" customHeight="1" x14ac:dyDescent="0.25">
      <c r="A117" s="194" t="s">
        <v>307</v>
      </c>
      <c r="B117" s="77" t="s">
        <v>52</v>
      </c>
      <c r="C117" s="43" t="s">
        <v>46</v>
      </c>
      <c r="D117" s="78" t="s">
        <v>8</v>
      </c>
      <c r="E117" s="70" t="s">
        <v>20</v>
      </c>
      <c r="F117" s="116">
        <f t="shared" si="3"/>
        <v>36000</v>
      </c>
      <c r="G117" s="116">
        <v>36000</v>
      </c>
      <c r="H117" s="117"/>
      <c r="I117" s="45"/>
    </row>
    <row r="118" spans="1:9" ht="16.5" customHeight="1" x14ac:dyDescent="0.25">
      <c r="A118" s="194" t="s">
        <v>331</v>
      </c>
      <c r="B118" s="77" t="s">
        <v>52</v>
      </c>
      <c r="C118" s="43" t="s">
        <v>46</v>
      </c>
      <c r="D118" s="78" t="s">
        <v>8</v>
      </c>
      <c r="E118" s="76" t="s">
        <v>169</v>
      </c>
      <c r="F118" s="116">
        <f t="shared" si="3"/>
        <v>5636380</v>
      </c>
      <c r="G118" s="116">
        <f>7711598-883272-900000-50788-131158-110000</f>
        <v>5636380</v>
      </c>
      <c r="H118" s="117"/>
      <c r="I118" s="45"/>
    </row>
    <row r="119" spans="1:9" ht="16.5" customHeight="1" x14ac:dyDescent="0.25">
      <c r="A119" s="79" t="s">
        <v>308</v>
      </c>
      <c r="B119" s="77" t="s">
        <v>52</v>
      </c>
      <c r="C119" s="43" t="s">
        <v>46</v>
      </c>
      <c r="D119" s="78" t="s">
        <v>8</v>
      </c>
      <c r="E119" s="70" t="s">
        <v>170</v>
      </c>
      <c r="F119" s="116">
        <f t="shared" si="3"/>
        <v>2600</v>
      </c>
      <c r="G119" s="116">
        <v>2600</v>
      </c>
      <c r="H119" s="117"/>
      <c r="I119" s="45"/>
    </row>
    <row r="120" spans="1:9" ht="16.5" customHeight="1" x14ac:dyDescent="0.25">
      <c r="A120" s="194" t="s">
        <v>309</v>
      </c>
      <c r="B120" s="43" t="s">
        <v>52</v>
      </c>
      <c r="C120" s="43" t="s">
        <v>46</v>
      </c>
      <c r="D120" s="78" t="s">
        <v>8</v>
      </c>
      <c r="E120" s="70" t="s">
        <v>118</v>
      </c>
      <c r="F120" s="116">
        <f t="shared" si="3"/>
        <v>4400</v>
      </c>
      <c r="G120" s="45">
        <f>4000+400</f>
        <v>4400</v>
      </c>
      <c r="H120" s="45"/>
      <c r="I120" s="45"/>
    </row>
    <row r="121" spans="1:9" ht="16.5" customHeight="1" x14ac:dyDescent="0.25">
      <c r="A121" s="194" t="s">
        <v>310</v>
      </c>
      <c r="B121" s="43">
        <v>16</v>
      </c>
      <c r="C121" s="43" t="s">
        <v>46</v>
      </c>
      <c r="D121" s="78" t="s">
        <v>8</v>
      </c>
      <c r="E121" s="164" t="s">
        <v>450</v>
      </c>
      <c r="F121" s="116">
        <f t="shared" si="3"/>
        <v>20313</v>
      </c>
      <c r="G121" s="45">
        <f>15000+5313</f>
        <v>20313</v>
      </c>
      <c r="H121" s="45"/>
      <c r="I121" s="45"/>
    </row>
    <row r="122" spans="1:9" ht="16.5" customHeight="1" x14ac:dyDescent="0.25">
      <c r="A122" s="79" t="s">
        <v>452</v>
      </c>
      <c r="B122" s="77" t="s">
        <v>52</v>
      </c>
      <c r="C122" s="43" t="s">
        <v>46</v>
      </c>
      <c r="D122" s="78" t="s">
        <v>8</v>
      </c>
      <c r="E122" s="59" t="s">
        <v>114</v>
      </c>
      <c r="F122" s="116">
        <f t="shared" si="3"/>
        <v>5000</v>
      </c>
      <c r="G122" s="116">
        <v>5000</v>
      </c>
      <c r="H122" s="117"/>
      <c r="I122" s="45"/>
    </row>
    <row r="123" spans="1:9" ht="16.5" customHeight="1" x14ac:dyDescent="0.25">
      <c r="A123" s="166" t="s">
        <v>456</v>
      </c>
      <c r="B123" s="77" t="s">
        <v>127</v>
      </c>
      <c r="C123" s="148">
        <v>10</v>
      </c>
      <c r="D123" s="78" t="s">
        <v>8</v>
      </c>
      <c r="E123" s="59" t="s">
        <v>424</v>
      </c>
      <c r="F123" s="116">
        <f t="shared" si="3"/>
        <v>437544</v>
      </c>
      <c r="G123" s="116">
        <f>351900+5644+80000</f>
        <v>437544</v>
      </c>
      <c r="H123" s="45">
        <f>198000+81000</f>
        <v>279000</v>
      </c>
      <c r="I123" s="45"/>
    </row>
    <row r="124" spans="1:9" ht="16.5" customHeight="1" x14ac:dyDescent="0.25">
      <c r="A124" s="166" t="s">
        <v>478</v>
      </c>
      <c r="B124" s="173" t="s">
        <v>47</v>
      </c>
      <c r="C124" s="166" t="s">
        <v>46</v>
      </c>
      <c r="D124" s="174" t="s">
        <v>8</v>
      </c>
      <c r="E124" s="175" t="s">
        <v>324</v>
      </c>
      <c r="F124" s="116">
        <f t="shared" si="3"/>
        <v>4320</v>
      </c>
      <c r="G124" s="45">
        <f>3900+420</f>
        <v>4320</v>
      </c>
      <c r="H124" s="117"/>
      <c r="I124" s="45"/>
    </row>
    <row r="125" spans="1:9" ht="15.75" customHeight="1" x14ac:dyDescent="0.25">
      <c r="A125" s="166" t="s">
        <v>480</v>
      </c>
      <c r="B125" s="43"/>
      <c r="C125" s="5"/>
      <c r="D125" s="247" t="s">
        <v>151</v>
      </c>
      <c r="E125" s="247"/>
      <c r="F125" s="117">
        <f>SUM(F15,F17:F23,F24:F30,F32:F38,F40:F124)</f>
        <v>46816123</v>
      </c>
      <c r="G125" s="117">
        <f>SUM(G15,G17:G23,G24:G30,G32:G38,G40:G124)</f>
        <v>29825690</v>
      </c>
      <c r="H125" s="117">
        <f>SUM(H15,H17:H23,H24:H30,H33:H38,H40:H124)</f>
        <v>8733283</v>
      </c>
      <c r="I125" s="117">
        <f>SUM(I15,I17:I23,I24:I30,I33:I38,I40:I124)</f>
        <v>16990433</v>
      </c>
    </row>
    <row r="126" spans="1:9" x14ac:dyDescent="0.25">
      <c r="D126" s="80"/>
    </row>
  </sheetData>
  <mergeCells count="17">
    <mergeCell ref="D125:E125"/>
    <mergeCell ref="G12:H12"/>
    <mergeCell ref="I12:I14"/>
    <mergeCell ref="G13:G14"/>
    <mergeCell ref="H13:H14"/>
    <mergeCell ref="E11:E14"/>
    <mergeCell ref="F11:F14"/>
    <mergeCell ref="G11:I11"/>
    <mergeCell ref="F1:H1"/>
    <mergeCell ref="A11:A14"/>
    <mergeCell ref="B11:B14"/>
    <mergeCell ref="C11:C14"/>
    <mergeCell ref="D11:D14"/>
    <mergeCell ref="F2:I2"/>
    <mergeCell ref="D8:I8"/>
    <mergeCell ref="D9:I9"/>
    <mergeCell ref="D10:I10"/>
  </mergeCells>
  <phoneticPr fontId="0" type="noConversion"/>
  <pageMargins left="0" right="0" top="0.78740157480314965" bottom="0" header="0.51181102362204722" footer="0.51181102362204722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65"/>
  <sheetViews>
    <sheetView workbookViewId="0">
      <selection activeCell="H36" sqref="H36"/>
    </sheetView>
  </sheetViews>
  <sheetFormatPr defaultRowHeight="16.5" x14ac:dyDescent="0.25"/>
  <cols>
    <col min="1" max="1" width="6.28515625" style="53" customWidth="1"/>
    <col min="2" max="2" width="5.7109375" style="53" customWidth="1"/>
    <col min="3" max="3" width="6.140625" style="53" customWidth="1"/>
    <col min="4" max="4" width="34.5703125" style="53" customWidth="1"/>
    <col min="5" max="5" width="46.7109375" style="53" customWidth="1"/>
    <col min="6" max="6" width="10" style="53" customWidth="1"/>
    <col min="7" max="7" width="9.85546875" style="53" customWidth="1"/>
    <col min="8" max="8" width="10" style="53" customWidth="1"/>
    <col min="9" max="9" width="10.7109375" style="53" customWidth="1"/>
    <col min="10" max="10" width="9.140625" style="53"/>
    <col min="11" max="11" width="11.5703125" style="53" bestFit="1" customWidth="1"/>
    <col min="12" max="12" width="9.140625" style="53"/>
    <col min="13" max="13" width="11.5703125" style="53" bestFit="1" customWidth="1"/>
    <col min="14" max="16384" width="9.140625" style="53"/>
  </cols>
  <sheetData>
    <row r="1" spans="1:9" x14ac:dyDescent="0.25">
      <c r="E1" s="198" t="s">
        <v>474</v>
      </c>
      <c r="F1" s="198"/>
      <c r="G1" s="198"/>
      <c r="H1" s="16"/>
    </row>
    <row r="2" spans="1:9" x14ac:dyDescent="0.25">
      <c r="E2" s="198" t="s">
        <v>475</v>
      </c>
      <c r="F2" s="198"/>
      <c r="G2" s="198"/>
      <c r="H2" s="198"/>
    </row>
    <row r="3" spans="1:9" ht="13.5" customHeight="1" x14ac:dyDescent="0.25">
      <c r="E3" s="252" t="s">
        <v>476</v>
      </c>
      <c r="F3" s="252"/>
      <c r="G3" s="252"/>
      <c r="H3" s="252"/>
    </row>
    <row r="4" spans="1:9" ht="13.5" customHeight="1" x14ac:dyDescent="0.25">
      <c r="E4" s="196" t="s">
        <v>495</v>
      </c>
      <c r="F4" s="196"/>
      <c r="G4" s="36"/>
      <c r="H4" s="92"/>
    </row>
    <row r="5" spans="1:9" ht="13.5" customHeight="1" x14ac:dyDescent="0.25">
      <c r="E5" s="1" t="s">
        <v>492</v>
      </c>
      <c r="F5" s="1"/>
      <c r="G5" s="1"/>
      <c r="H5" s="183"/>
    </row>
    <row r="6" spans="1:9" ht="16.5" customHeight="1" x14ac:dyDescent="0.25">
      <c r="C6" s="54" t="s">
        <v>398</v>
      </c>
      <c r="D6" s="54"/>
      <c r="E6" s="54"/>
      <c r="F6" s="54"/>
      <c r="G6" s="54"/>
      <c r="H6" s="54"/>
      <c r="I6" s="54"/>
    </row>
    <row r="7" spans="1:9" ht="15" customHeight="1" x14ac:dyDescent="0.25">
      <c r="A7" s="248" t="s">
        <v>385</v>
      </c>
      <c r="B7" s="248"/>
      <c r="C7" s="248"/>
      <c r="D7" s="248"/>
      <c r="E7" s="248"/>
      <c r="F7" s="248"/>
      <c r="G7" s="248"/>
      <c r="H7" s="248"/>
      <c r="I7" s="248"/>
    </row>
    <row r="8" spans="1:9" ht="15" customHeight="1" x14ac:dyDescent="0.25">
      <c r="A8" s="248" t="s">
        <v>392</v>
      </c>
      <c r="B8" s="248"/>
      <c r="C8" s="248"/>
      <c r="D8" s="248"/>
      <c r="E8" s="248"/>
      <c r="F8" s="248"/>
      <c r="G8" s="248"/>
      <c r="H8" s="248"/>
      <c r="I8" s="248"/>
    </row>
    <row r="9" spans="1:9" ht="14.25" customHeight="1" x14ac:dyDescent="0.25">
      <c r="A9" s="81"/>
      <c r="B9" s="81"/>
      <c r="C9" s="81"/>
      <c r="D9" s="251" t="s">
        <v>124</v>
      </c>
      <c r="E9" s="251"/>
      <c r="F9" s="251"/>
      <c r="G9" s="251"/>
      <c r="H9" s="251"/>
      <c r="I9" s="251"/>
    </row>
    <row r="10" spans="1:9" ht="6" hidden="1" customHeight="1" x14ac:dyDescent="0.25">
      <c r="A10" s="243" t="s">
        <v>60</v>
      </c>
      <c r="B10" s="243" t="s">
        <v>177</v>
      </c>
      <c r="C10" s="243" t="s">
        <v>176</v>
      </c>
      <c r="D10" s="243" t="s">
        <v>231</v>
      </c>
      <c r="E10" s="243" t="s">
        <v>125</v>
      </c>
      <c r="F10" s="240" t="s">
        <v>126</v>
      </c>
      <c r="G10" s="243"/>
      <c r="H10" s="243"/>
      <c r="I10" s="243"/>
    </row>
    <row r="11" spans="1:9" ht="18" customHeight="1" x14ac:dyDescent="0.25">
      <c r="A11" s="243"/>
      <c r="B11" s="243"/>
      <c r="C11" s="243"/>
      <c r="D11" s="243"/>
      <c r="E11" s="243"/>
      <c r="F11" s="241"/>
      <c r="G11" s="243" t="s">
        <v>108</v>
      </c>
      <c r="H11" s="243"/>
      <c r="I11" s="240" t="s">
        <v>393</v>
      </c>
    </row>
    <row r="12" spans="1:9" ht="12.75" customHeight="1" x14ac:dyDescent="0.25">
      <c r="A12" s="243"/>
      <c r="B12" s="243"/>
      <c r="C12" s="243"/>
      <c r="D12" s="243"/>
      <c r="E12" s="243"/>
      <c r="F12" s="241"/>
      <c r="G12" s="243" t="s">
        <v>4</v>
      </c>
      <c r="H12" s="243" t="s">
        <v>109</v>
      </c>
      <c r="I12" s="241"/>
    </row>
    <row r="13" spans="1:9" ht="83.25" customHeight="1" x14ac:dyDescent="0.25">
      <c r="A13" s="243"/>
      <c r="B13" s="243"/>
      <c r="C13" s="243"/>
      <c r="D13" s="243"/>
      <c r="E13" s="243"/>
      <c r="F13" s="242"/>
      <c r="G13" s="243"/>
      <c r="H13" s="243"/>
      <c r="I13" s="242"/>
    </row>
    <row r="14" spans="1:9" ht="16.5" customHeight="1" x14ac:dyDescent="0.25">
      <c r="A14" s="82" t="s">
        <v>37</v>
      </c>
      <c r="B14" s="82" t="s">
        <v>127</v>
      </c>
      <c r="C14" s="82" t="s">
        <v>127</v>
      </c>
      <c r="D14" s="55" t="s">
        <v>8</v>
      </c>
      <c r="E14" s="48" t="s">
        <v>128</v>
      </c>
      <c r="F14" s="34">
        <f t="shared" ref="F14:F26" si="0">SUM(G14+I14)</f>
        <v>1164</v>
      </c>
      <c r="G14" s="5">
        <v>1164</v>
      </c>
      <c r="H14" s="5">
        <v>890</v>
      </c>
      <c r="I14" s="5"/>
    </row>
    <row r="15" spans="1:9" ht="16.5" customHeight="1" x14ac:dyDescent="0.25">
      <c r="A15" s="82" t="s">
        <v>38</v>
      </c>
      <c r="B15" s="82" t="s">
        <v>127</v>
      </c>
      <c r="C15" s="82" t="s">
        <v>127</v>
      </c>
      <c r="D15" s="55" t="s">
        <v>8</v>
      </c>
      <c r="E15" s="48" t="s">
        <v>227</v>
      </c>
      <c r="F15" s="34">
        <f t="shared" si="0"/>
        <v>2000</v>
      </c>
      <c r="G15" s="5">
        <v>2000</v>
      </c>
      <c r="H15" s="5">
        <v>1530</v>
      </c>
      <c r="I15" s="5"/>
    </row>
    <row r="16" spans="1:9" ht="16.5" customHeight="1" x14ac:dyDescent="0.25">
      <c r="A16" s="82" t="s">
        <v>39</v>
      </c>
      <c r="B16" s="82" t="s">
        <v>127</v>
      </c>
      <c r="C16" s="82" t="s">
        <v>127</v>
      </c>
      <c r="D16" s="55" t="s">
        <v>8</v>
      </c>
      <c r="E16" s="48" t="s">
        <v>129</v>
      </c>
      <c r="F16" s="116">
        <f t="shared" si="0"/>
        <v>34900</v>
      </c>
      <c r="G16" s="5">
        <v>34900</v>
      </c>
      <c r="H16" s="5">
        <f>21350-4913</f>
        <v>16437</v>
      </c>
      <c r="I16" s="5"/>
    </row>
    <row r="17" spans="1:9" ht="16.5" customHeight="1" x14ac:dyDescent="0.25">
      <c r="A17" s="82" t="s">
        <v>40</v>
      </c>
      <c r="B17" s="82" t="s">
        <v>127</v>
      </c>
      <c r="C17" s="82" t="s">
        <v>127</v>
      </c>
      <c r="D17" s="55" t="s">
        <v>8</v>
      </c>
      <c r="E17" s="48" t="s">
        <v>354</v>
      </c>
      <c r="F17" s="116">
        <f t="shared" si="0"/>
        <v>176200</v>
      </c>
      <c r="G17" s="5">
        <f>161400+14800</f>
        <v>176200</v>
      </c>
      <c r="H17" s="5">
        <f>116030+6720</f>
        <v>122750</v>
      </c>
      <c r="I17" s="5"/>
    </row>
    <row r="18" spans="1:9" ht="16.5" customHeight="1" x14ac:dyDescent="0.25">
      <c r="A18" s="82" t="s">
        <v>41</v>
      </c>
      <c r="B18" s="82" t="s">
        <v>127</v>
      </c>
      <c r="C18" s="82" t="s">
        <v>127</v>
      </c>
      <c r="D18" s="55" t="s">
        <v>8</v>
      </c>
      <c r="E18" s="48" t="s">
        <v>355</v>
      </c>
      <c r="F18" s="116">
        <f t="shared" si="0"/>
        <v>26800</v>
      </c>
      <c r="G18" s="5">
        <f>41600-14800</f>
        <v>26800</v>
      </c>
      <c r="H18" s="5">
        <f>27300-11198</f>
        <v>16102</v>
      </c>
      <c r="I18" s="5"/>
    </row>
    <row r="19" spans="1:9" ht="16.5" customHeight="1" x14ac:dyDescent="0.25">
      <c r="A19" s="82" t="s">
        <v>42</v>
      </c>
      <c r="B19" s="82" t="s">
        <v>127</v>
      </c>
      <c r="C19" s="82" t="s">
        <v>127</v>
      </c>
      <c r="D19" s="55" t="s">
        <v>8</v>
      </c>
      <c r="E19" s="48" t="s">
        <v>189</v>
      </c>
      <c r="F19" s="116">
        <f t="shared" si="0"/>
        <v>26400</v>
      </c>
      <c r="G19" s="5">
        <v>26400</v>
      </c>
      <c r="H19" s="5">
        <v>20200</v>
      </c>
      <c r="I19" s="5"/>
    </row>
    <row r="20" spans="1:9" ht="16.5" customHeight="1" x14ac:dyDescent="0.25">
      <c r="A20" s="83" t="s">
        <v>43</v>
      </c>
      <c r="B20" s="82" t="s">
        <v>127</v>
      </c>
      <c r="C20" s="82" t="s">
        <v>127</v>
      </c>
      <c r="D20" s="55" t="s">
        <v>8</v>
      </c>
      <c r="E20" s="48" t="s">
        <v>130</v>
      </c>
      <c r="F20" s="116">
        <f t="shared" si="0"/>
        <v>80100</v>
      </c>
      <c r="G20" s="5">
        <v>80100</v>
      </c>
      <c r="H20" s="45">
        <v>61160</v>
      </c>
      <c r="I20" s="5"/>
    </row>
    <row r="21" spans="1:9" ht="16.5" customHeight="1" x14ac:dyDescent="0.25">
      <c r="A21" s="82" t="s">
        <v>44</v>
      </c>
      <c r="B21" s="82" t="s">
        <v>127</v>
      </c>
      <c r="C21" s="82" t="s">
        <v>127</v>
      </c>
      <c r="D21" s="55" t="s">
        <v>8</v>
      </c>
      <c r="E21" s="34" t="s">
        <v>131</v>
      </c>
      <c r="F21" s="116">
        <f t="shared" si="0"/>
        <v>43473</v>
      </c>
      <c r="G21" s="9">
        <v>43473</v>
      </c>
      <c r="H21" s="119">
        <v>5250</v>
      </c>
      <c r="I21" s="9"/>
    </row>
    <row r="22" spans="1:9" ht="37.5" customHeight="1" x14ac:dyDescent="0.25">
      <c r="A22" s="84" t="s">
        <v>45</v>
      </c>
      <c r="B22" s="82" t="s">
        <v>127</v>
      </c>
      <c r="C22" s="82" t="s">
        <v>127</v>
      </c>
      <c r="D22" s="63" t="s">
        <v>8</v>
      </c>
      <c r="E22" s="57" t="s">
        <v>363</v>
      </c>
      <c r="F22" s="116">
        <f t="shared" si="0"/>
        <v>3000</v>
      </c>
      <c r="G22" s="5">
        <v>3000</v>
      </c>
      <c r="H22" s="5"/>
      <c r="I22" s="5"/>
    </row>
    <row r="23" spans="1:9" ht="17.25" customHeight="1" x14ac:dyDescent="0.25">
      <c r="A23" s="84" t="s">
        <v>46</v>
      </c>
      <c r="B23" s="82" t="s">
        <v>127</v>
      </c>
      <c r="C23" s="82" t="s">
        <v>127</v>
      </c>
      <c r="D23" s="55" t="s">
        <v>8</v>
      </c>
      <c r="E23" s="58" t="s">
        <v>132</v>
      </c>
      <c r="F23" s="116">
        <f t="shared" si="0"/>
        <v>20700</v>
      </c>
      <c r="G23" s="5">
        <v>20700</v>
      </c>
      <c r="H23" s="5"/>
      <c r="I23" s="5"/>
    </row>
    <row r="24" spans="1:9" ht="17.25" customHeight="1" x14ac:dyDescent="0.25">
      <c r="A24" s="84" t="s">
        <v>47</v>
      </c>
      <c r="B24" s="82" t="s">
        <v>127</v>
      </c>
      <c r="C24" s="82" t="s">
        <v>163</v>
      </c>
      <c r="D24" s="55" t="s">
        <v>8</v>
      </c>
      <c r="E24" s="48" t="s">
        <v>134</v>
      </c>
      <c r="F24" s="116">
        <f t="shared" si="0"/>
        <v>9400</v>
      </c>
      <c r="G24" s="4">
        <v>9400</v>
      </c>
      <c r="H24" s="4">
        <v>6400</v>
      </c>
      <c r="I24" s="5"/>
    </row>
    <row r="25" spans="1:9" ht="17.25" customHeight="1" x14ac:dyDescent="0.25">
      <c r="A25" s="82" t="s">
        <v>48</v>
      </c>
      <c r="B25" s="82" t="s">
        <v>127</v>
      </c>
      <c r="C25" s="82" t="s">
        <v>163</v>
      </c>
      <c r="D25" s="55" t="s">
        <v>8</v>
      </c>
      <c r="E25" s="58" t="s">
        <v>135</v>
      </c>
      <c r="F25" s="116">
        <f t="shared" si="0"/>
        <v>38418</v>
      </c>
      <c r="G25" s="4">
        <v>38418</v>
      </c>
      <c r="H25" s="45">
        <f>22890-3016</f>
        <v>19874</v>
      </c>
      <c r="I25" s="5"/>
    </row>
    <row r="26" spans="1:9" ht="17.25" customHeight="1" x14ac:dyDescent="0.25">
      <c r="A26" s="82" t="s">
        <v>49</v>
      </c>
      <c r="B26" s="82" t="s">
        <v>165</v>
      </c>
      <c r="C26" s="82" t="s">
        <v>160</v>
      </c>
      <c r="D26" s="55" t="s">
        <v>8</v>
      </c>
      <c r="E26" s="5" t="s">
        <v>322</v>
      </c>
      <c r="F26" s="45">
        <f t="shared" si="0"/>
        <v>1332831</v>
      </c>
      <c r="G26" s="4">
        <v>1332831</v>
      </c>
      <c r="H26" s="45">
        <v>916640</v>
      </c>
      <c r="I26" s="5"/>
    </row>
    <row r="27" spans="1:9" ht="17.25" customHeight="1" x14ac:dyDescent="0.25">
      <c r="A27" s="84" t="s">
        <v>50</v>
      </c>
      <c r="B27" s="82" t="s">
        <v>127</v>
      </c>
      <c r="C27" s="82" t="s">
        <v>164</v>
      </c>
      <c r="D27" s="55" t="s">
        <v>8</v>
      </c>
      <c r="E27" s="65" t="s">
        <v>136</v>
      </c>
      <c r="F27" s="45">
        <f t="shared" ref="F27:F53" si="1">SUM(G27+I27)</f>
        <v>642900</v>
      </c>
      <c r="G27" s="4">
        <v>642900</v>
      </c>
      <c r="H27" s="45">
        <f>342330+27485-1786</f>
        <v>368029</v>
      </c>
      <c r="I27" s="5"/>
    </row>
    <row r="28" spans="1:9" ht="17.25" customHeight="1" x14ac:dyDescent="0.25">
      <c r="A28" s="84" t="s">
        <v>51</v>
      </c>
      <c r="B28" s="82" t="s">
        <v>161</v>
      </c>
      <c r="C28" s="82" t="s">
        <v>164</v>
      </c>
      <c r="D28" s="63" t="s">
        <v>8</v>
      </c>
      <c r="E28" s="85" t="s">
        <v>212</v>
      </c>
      <c r="F28" s="115">
        <f t="shared" si="1"/>
        <v>310000</v>
      </c>
      <c r="G28" s="4">
        <v>310000</v>
      </c>
      <c r="H28" s="5">
        <f>78000-28659</f>
        <v>49341</v>
      </c>
      <c r="I28" s="5"/>
    </row>
    <row r="29" spans="1:9" ht="17.25" customHeight="1" x14ac:dyDescent="0.25">
      <c r="A29" s="84" t="s">
        <v>52</v>
      </c>
      <c r="B29" s="82" t="s">
        <v>166</v>
      </c>
      <c r="C29" s="82" t="s">
        <v>164</v>
      </c>
      <c r="D29" s="55" t="s">
        <v>8</v>
      </c>
      <c r="E29" s="58" t="s">
        <v>133</v>
      </c>
      <c r="F29" s="115">
        <f t="shared" si="1"/>
        <v>394700</v>
      </c>
      <c r="G29" s="5">
        <v>394700</v>
      </c>
      <c r="H29" s="5">
        <v>18500</v>
      </c>
      <c r="I29" s="5"/>
    </row>
    <row r="30" spans="1:9" ht="33.75" customHeight="1" x14ac:dyDescent="0.25">
      <c r="A30" s="84" t="s">
        <v>53</v>
      </c>
      <c r="B30" s="82" t="s">
        <v>52</v>
      </c>
      <c r="C30" s="82" t="s">
        <v>46</v>
      </c>
      <c r="D30" s="63" t="s">
        <v>8</v>
      </c>
      <c r="E30" s="86" t="s">
        <v>312</v>
      </c>
      <c r="F30" s="115">
        <f t="shared" si="1"/>
        <v>997400</v>
      </c>
      <c r="G30" s="45">
        <f>SUM(G31:G33)</f>
        <v>997400</v>
      </c>
      <c r="H30" s="45">
        <f>SUM(H31:H33)</f>
        <v>16000</v>
      </c>
      <c r="I30" s="45"/>
    </row>
    <row r="31" spans="1:9" ht="15" customHeight="1" x14ac:dyDescent="0.25">
      <c r="A31" s="82" t="s">
        <v>359</v>
      </c>
      <c r="B31" s="82" t="s">
        <v>52</v>
      </c>
      <c r="C31" s="82" t="s">
        <v>46</v>
      </c>
      <c r="D31" s="55" t="s">
        <v>8</v>
      </c>
      <c r="E31" s="58" t="s">
        <v>226</v>
      </c>
      <c r="F31" s="116">
        <f t="shared" si="1"/>
        <v>505970</v>
      </c>
      <c r="G31" s="45">
        <f>619380-41410-42000-30000</f>
        <v>505970</v>
      </c>
      <c r="H31" s="45"/>
      <c r="I31" s="50"/>
    </row>
    <row r="32" spans="1:9" ht="15" customHeight="1" x14ac:dyDescent="0.25">
      <c r="A32" s="82" t="s">
        <v>360</v>
      </c>
      <c r="B32" s="82" t="s">
        <v>52</v>
      </c>
      <c r="C32" s="82" t="s">
        <v>46</v>
      </c>
      <c r="D32" s="55" t="s">
        <v>8</v>
      </c>
      <c r="E32" s="73" t="s">
        <v>137</v>
      </c>
      <c r="F32" s="116">
        <f t="shared" si="1"/>
        <v>460000</v>
      </c>
      <c r="G32" s="45">
        <f>430000+30000</f>
        <v>460000</v>
      </c>
      <c r="H32" s="45"/>
      <c r="I32" s="50"/>
    </row>
    <row r="33" spans="1:9" ht="15" customHeight="1" x14ac:dyDescent="0.25">
      <c r="A33" s="82" t="s">
        <v>361</v>
      </c>
      <c r="B33" s="82" t="s">
        <v>127</v>
      </c>
      <c r="C33" s="82" t="s">
        <v>46</v>
      </c>
      <c r="D33" s="55" t="s">
        <v>8</v>
      </c>
      <c r="E33" s="73" t="s">
        <v>138</v>
      </c>
      <c r="F33" s="116">
        <f t="shared" si="1"/>
        <v>31430</v>
      </c>
      <c r="G33" s="45">
        <f>35520-4090</f>
        <v>31430</v>
      </c>
      <c r="H33" s="5">
        <f>27120-3120-8000</f>
        <v>16000</v>
      </c>
      <c r="I33" s="50"/>
    </row>
    <row r="34" spans="1:9" ht="15" customHeight="1" x14ac:dyDescent="0.25">
      <c r="A34" s="82" t="s">
        <v>54</v>
      </c>
      <c r="B34" s="82" t="s">
        <v>52</v>
      </c>
      <c r="C34" s="82" t="s">
        <v>46</v>
      </c>
      <c r="D34" s="55" t="s">
        <v>8</v>
      </c>
      <c r="E34" s="73" t="s">
        <v>357</v>
      </c>
      <c r="F34" s="116">
        <f t="shared" si="1"/>
        <v>194700</v>
      </c>
      <c r="G34" s="4">
        <v>194700</v>
      </c>
      <c r="H34" s="16">
        <f>SUM(H35:H36)</f>
        <v>28724</v>
      </c>
      <c r="I34" s="50"/>
    </row>
    <row r="35" spans="1:9" ht="15" customHeight="1" x14ac:dyDescent="0.25">
      <c r="A35" s="82" t="s">
        <v>347</v>
      </c>
      <c r="B35" s="82" t="s">
        <v>37</v>
      </c>
      <c r="C35" s="82" t="s">
        <v>46</v>
      </c>
      <c r="D35" s="55" t="s">
        <v>8</v>
      </c>
      <c r="E35" s="73" t="s">
        <v>138</v>
      </c>
      <c r="F35" s="116">
        <f t="shared" si="1"/>
        <v>38544</v>
      </c>
      <c r="G35" s="4">
        <v>38544</v>
      </c>
      <c r="H35" s="4">
        <f>29430-706</f>
        <v>28724</v>
      </c>
      <c r="I35" s="50"/>
    </row>
    <row r="36" spans="1:9" ht="15" customHeight="1" x14ac:dyDescent="0.25">
      <c r="A36" s="82" t="s">
        <v>55</v>
      </c>
      <c r="B36" s="82" t="s">
        <v>52</v>
      </c>
      <c r="C36" s="82" t="s">
        <v>46</v>
      </c>
      <c r="D36" s="72" t="s">
        <v>368</v>
      </c>
      <c r="E36" s="73" t="s">
        <v>139</v>
      </c>
      <c r="F36" s="116">
        <f t="shared" si="1"/>
        <v>31000</v>
      </c>
      <c r="G36" s="4">
        <v>31000</v>
      </c>
      <c r="H36" s="45"/>
      <c r="I36" s="50"/>
    </row>
    <row r="37" spans="1:9" ht="15" customHeight="1" x14ac:dyDescent="0.25">
      <c r="A37" s="82" t="s">
        <v>56</v>
      </c>
      <c r="B37" s="82" t="s">
        <v>52</v>
      </c>
      <c r="C37" s="82" t="s">
        <v>46</v>
      </c>
      <c r="D37" s="55" t="s">
        <v>369</v>
      </c>
      <c r="E37" s="73" t="s">
        <v>139</v>
      </c>
      <c r="F37" s="116">
        <f t="shared" si="1"/>
        <v>45000</v>
      </c>
      <c r="G37" s="4">
        <v>45000</v>
      </c>
      <c r="H37" s="45"/>
      <c r="I37" s="50"/>
    </row>
    <row r="38" spans="1:9" ht="15" customHeight="1" x14ac:dyDescent="0.25">
      <c r="A38" s="82" t="s">
        <v>57</v>
      </c>
      <c r="B38" s="82" t="s">
        <v>52</v>
      </c>
      <c r="C38" s="82" t="s">
        <v>46</v>
      </c>
      <c r="D38" s="55" t="s">
        <v>370</v>
      </c>
      <c r="E38" s="73" t="s">
        <v>139</v>
      </c>
      <c r="F38" s="116">
        <f t="shared" si="1"/>
        <v>1000</v>
      </c>
      <c r="G38" s="4">
        <v>1000</v>
      </c>
      <c r="H38" s="45"/>
      <c r="I38" s="50"/>
    </row>
    <row r="39" spans="1:9" ht="15" customHeight="1" x14ac:dyDescent="0.25">
      <c r="A39" s="82" t="s">
        <v>58</v>
      </c>
      <c r="B39" s="82" t="s">
        <v>52</v>
      </c>
      <c r="C39" s="82" t="s">
        <v>46</v>
      </c>
      <c r="D39" s="55" t="s">
        <v>371</v>
      </c>
      <c r="E39" s="73" t="s">
        <v>139</v>
      </c>
      <c r="F39" s="116">
        <f t="shared" si="1"/>
        <v>6500</v>
      </c>
      <c r="G39" s="4">
        <v>6500</v>
      </c>
      <c r="H39" s="45"/>
      <c r="I39" s="50"/>
    </row>
    <row r="40" spans="1:9" ht="15" customHeight="1" x14ac:dyDescent="0.25">
      <c r="A40" s="82" t="s">
        <v>59</v>
      </c>
      <c r="B40" s="82" t="s">
        <v>52</v>
      </c>
      <c r="C40" s="82" t="s">
        <v>46</v>
      </c>
      <c r="D40" s="55" t="s">
        <v>372</v>
      </c>
      <c r="E40" s="73" t="s">
        <v>139</v>
      </c>
      <c r="F40" s="116">
        <f t="shared" si="1"/>
        <v>39000</v>
      </c>
      <c r="G40" s="4">
        <v>39000</v>
      </c>
      <c r="H40" s="45"/>
      <c r="I40" s="50"/>
    </row>
    <row r="41" spans="1:9" ht="15" customHeight="1" x14ac:dyDescent="0.25">
      <c r="A41" s="82" t="s">
        <v>69</v>
      </c>
      <c r="B41" s="82" t="s">
        <v>52</v>
      </c>
      <c r="C41" s="82" t="s">
        <v>46</v>
      </c>
      <c r="D41" s="55" t="s">
        <v>373</v>
      </c>
      <c r="E41" s="73" t="s">
        <v>139</v>
      </c>
      <c r="F41" s="116">
        <f t="shared" si="1"/>
        <v>22000</v>
      </c>
      <c r="G41" s="4">
        <v>22000</v>
      </c>
      <c r="H41" s="45"/>
      <c r="I41" s="50"/>
    </row>
    <row r="42" spans="1:9" ht="30.75" customHeight="1" x14ac:dyDescent="0.25">
      <c r="A42" s="82" t="s">
        <v>82</v>
      </c>
      <c r="B42" s="82" t="s">
        <v>52</v>
      </c>
      <c r="C42" s="82" t="s">
        <v>46</v>
      </c>
      <c r="D42" s="55" t="s">
        <v>374</v>
      </c>
      <c r="E42" s="73" t="s">
        <v>139</v>
      </c>
      <c r="F42" s="116">
        <f t="shared" si="1"/>
        <v>53000</v>
      </c>
      <c r="G42" s="4">
        <v>53000</v>
      </c>
      <c r="H42" s="45"/>
      <c r="I42" s="50"/>
    </row>
    <row r="43" spans="1:9" ht="15" customHeight="1" x14ac:dyDescent="0.25">
      <c r="A43" s="82" t="s">
        <v>119</v>
      </c>
      <c r="B43" s="82" t="s">
        <v>52</v>
      </c>
      <c r="C43" s="82" t="s">
        <v>46</v>
      </c>
      <c r="D43" s="74" t="s">
        <v>375</v>
      </c>
      <c r="E43" s="73" t="s">
        <v>139</v>
      </c>
      <c r="F43" s="116">
        <f t="shared" si="1"/>
        <v>35000</v>
      </c>
      <c r="G43" s="4">
        <v>35000</v>
      </c>
      <c r="H43" s="45"/>
      <c r="I43" s="50"/>
    </row>
    <row r="44" spans="1:9" ht="15" customHeight="1" x14ac:dyDescent="0.25">
      <c r="A44" s="82" t="s">
        <v>121</v>
      </c>
      <c r="B44" s="82" t="s">
        <v>52</v>
      </c>
      <c r="C44" s="82" t="s">
        <v>46</v>
      </c>
      <c r="D44" s="74" t="s">
        <v>376</v>
      </c>
      <c r="E44" s="73" t="s">
        <v>139</v>
      </c>
      <c r="F44" s="116">
        <f t="shared" si="1"/>
        <v>46000</v>
      </c>
      <c r="G44" s="4">
        <v>46000</v>
      </c>
      <c r="H44" s="45"/>
      <c r="I44" s="50"/>
    </row>
    <row r="45" spans="1:9" ht="15" customHeight="1" x14ac:dyDescent="0.25">
      <c r="A45" s="82" t="s">
        <v>251</v>
      </c>
      <c r="B45" s="82" t="s">
        <v>52</v>
      </c>
      <c r="C45" s="82" t="s">
        <v>46</v>
      </c>
      <c r="D45" s="74" t="s">
        <v>377</v>
      </c>
      <c r="E45" s="73" t="s">
        <v>139</v>
      </c>
      <c r="F45" s="116">
        <f t="shared" si="1"/>
        <v>46000</v>
      </c>
      <c r="G45" s="4">
        <v>46000</v>
      </c>
      <c r="H45" s="45"/>
      <c r="I45" s="50"/>
    </row>
    <row r="46" spans="1:9" ht="15" customHeight="1" x14ac:dyDescent="0.25">
      <c r="A46" s="82" t="s">
        <v>140</v>
      </c>
      <c r="B46" s="82" t="s">
        <v>52</v>
      </c>
      <c r="C46" s="82" t="s">
        <v>46</v>
      </c>
      <c r="D46" s="5" t="s">
        <v>378</v>
      </c>
      <c r="E46" s="5" t="s">
        <v>139</v>
      </c>
      <c r="F46" s="116">
        <f t="shared" si="1"/>
        <v>62000</v>
      </c>
      <c r="G46" s="4">
        <v>62000</v>
      </c>
      <c r="H46" s="45"/>
      <c r="I46" s="50"/>
    </row>
    <row r="47" spans="1:9" ht="15" customHeight="1" x14ac:dyDescent="0.25">
      <c r="A47" s="82" t="s">
        <v>141</v>
      </c>
      <c r="B47" s="82" t="s">
        <v>52</v>
      </c>
      <c r="C47" s="82" t="s">
        <v>46</v>
      </c>
      <c r="D47" s="5" t="s">
        <v>379</v>
      </c>
      <c r="E47" s="5" t="s">
        <v>139</v>
      </c>
      <c r="F47" s="45">
        <f t="shared" si="1"/>
        <v>53000</v>
      </c>
      <c r="G47" s="4">
        <v>53000</v>
      </c>
      <c r="H47" s="45"/>
      <c r="I47" s="50"/>
    </row>
    <row r="48" spans="1:9" ht="15" customHeight="1" x14ac:dyDescent="0.25">
      <c r="A48" s="82" t="s">
        <v>142</v>
      </c>
      <c r="B48" s="82" t="s">
        <v>52</v>
      </c>
      <c r="C48" s="82" t="s">
        <v>46</v>
      </c>
      <c r="D48" s="5" t="s">
        <v>323</v>
      </c>
      <c r="E48" s="5" t="s">
        <v>139</v>
      </c>
      <c r="F48" s="116">
        <f t="shared" si="1"/>
        <v>92000</v>
      </c>
      <c r="G48" s="4">
        <v>92000</v>
      </c>
      <c r="H48" s="45"/>
      <c r="I48" s="50"/>
    </row>
    <row r="49" spans="1:9" ht="30.75" customHeight="1" x14ac:dyDescent="0.25">
      <c r="A49" s="82" t="s">
        <v>143</v>
      </c>
      <c r="B49" s="82" t="s">
        <v>52</v>
      </c>
      <c r="C49" s="82" t="s">
        <v>46</v>
      </c>
      <c r="D49" s="55" t="s">
        <v>381</v>
      </c>
      <c r="E49" s="5" t="s">
        <v>139</v>
      </c>
      <c r="F49" s="45">
        <f t="shared" si="1"/>
        <v>120000</v>
      </c>
      <c r="G49" s="4">
        <v>120000</v>
      </c>
      <c r="H49" s="45"/>
      <c r="I49" s="50"/>
    </row>
    <row r="50" spans="1:9" ht="16.5" customHeight="1" x14ac:dyDescent="0.25">
      <c r="A50" s="82" t="s">
        <v>144</v>
      </c>
      <c r="B50" s="82" t="s">
        <v>52</v>
      </c>
      <c r="C50" s="82" t="s">
        <v>46</v>
      </c>
      <c r="D50" s="55" t="s">
        <v>380</v>
      </c>
      <c r="E50" s="5" t="s">
        <v>139</v>
      </c>
      <c r="F50" s="45">
        <f t="shared" si="1"/>
        <v>162000</v>
      </c>
      <c r="G50" s="4">
        <v>162000</v>
      </c>
      <c r="H50" s="45"/>
      <c r="I50" s="50"/>
    </row>
    <row r="51" spans="1:9" ht="16.5" customHeight="1" x14ac:dyDescent="0.25">
      <c r="A51" s="82" t="s">
        <v>145</v>
      </c>
      <c r="B51" s="82" t="s">
        <v>52</v>
      </c>
      <c r="C51" s="82" t="s">
        <v>46</v>
      </c>
      <c r="D51" s="74" t="s">
        <v>117</v>
      </c>
      <c r="E51" s="73" t="s">
        <v>174</v>
      </c>
      <c r="F51" s="115">
        <f>SUM(G51+I51)</f>
        <v>81474</v>
      </c>
      <c r="G51" s="136">
        <v>81474</v>
      </c>
      <c r="H51" s="4">
        <v>62300</v>
      </c>
      <c r="I51" s="50"/>
    </row>
    <row r="52" spans="1:9" ht="16.5" customHeight="1" x14ac:dyDescent="0.25">
      <c r="A52" s="82" t="s">
        <v>146</v>
      </c>
      <c r="B52" s="82" t="s">
        <v>52</v>
      </c>
      <c r="C52" s="82" t="s">
        <v>46</v>
      </c>
      <c r="D52" s="74" t="s">
        <v>8</v>
      </c>
      <c r="E52" s="73" t="s">
        <v>148</v>
      </c>
      <c r="F52" s="116">
        <f t="shared" si="1"/>
        <v>885426</v>
      </c>
      <c r="G52" s="136">
        <f>601800+117100+526+166000</f>
        <v>885426</v>
      </c>
      <c r="H52" s="4">
        <f>SUM(H53)</f>
        <v>8885</v>
      </c>
      <c r="I52" s="50"/>
    </row>
    <row r="53" spans="1:9" ht="16.5" customHeight="1" x14ac:dyDescent="0.25">
      <c r="A53" s="88" t="s">
        <v>362</v>
      </c>
      <c r="B53" s="82" t="s">
        <v>127</v>
      </c>
      <c r="C53" s="82" t="s">
        <v>46</v>
      </c>
      <c r="D53" s="74" t="s">
        <v>8</v>
      </c>
      <c r="E53" s="73" t="s">
        <v>138</v>
      </c>
      <c r="F53" s="34">
        <f t="shared" si="1"/>
        <v>19800</v>
      </c>
      <c r="G53" s="130">
        <v>19800</v>
      </c>
      <c r="H53" s="45">
        <f>15120-6235</f>
        <v>8885</v>
      </c>
      <c r="I53" s="50"/>
    </row>
    <row r="54" spans="1:9" ht="15.75" customHeight="1" x14ac:dyDescent="0.25">
      <c r="A54" s="88" t="s">
        <v>147</v>
      </c>
      <c r="B54" s="82" t="s">
        <v>52</v>
      </c>
      <c r="C54" s="82" t="s">
        <v>46</v>
      </c>
      <c r="D54" s="55" t="s">
        <v>8</v>
      </c>
      <c r="E54" s="58" t="s">
        <v>487</v>
      </c>
      <c r="F54" s="48">
        <f t="shared" ref="F54:F64" si="2">SUM(G54+I54)</f>
        <v>436200</v>
      </c>
      <c r="G54" s="136">
        <v>436200</v>
      </c>
      <c r="H54" s="4"/>
      <c r="I54" s="50"/>
    </row>
    <row r="55" spans="1:9" ht="15.75" customHeight="1" x14ac:dyDescent="0.25">
      <c r="A55" s="195" t="s">
        <v>485</v>
      </c>
      <c r="B55" s="82"/>
      <c r="C55" s="82"/>
      <c r="D55" s="55"/>
      <c r="E55" s="73" t="s">
        <v>486</v>
      </c>
      <c r="F55" s="48">
        <f t="shared" si="2"/>
        <v>70000</v>
      </c>
      <c r="G55" s="136">
        <v>70000</v>
      </c>
      <c r="H55" s="4"/>
      <c r="I55" s="50"/>
    </row>
    <row r="56" spans="1:9" ht="15.75" customHeight="1" x14ac:dyDescent="0.25">
      <c r="A56" s="139" t="s">
        <v>149</v>
      </c>
      <c r="B56" s="137" t="s">
        <v>48</v>
      </c>
      <c r="C56" s="137" t="s">
        <v>161</v>
      </c>
      <c r="D56" s="3" t="s">
        <v>122</v>
      </c>
      <c r="E56" s="14" t="s">
        <v>397</v>
      </c>
      <c r="F56" s="140">
        <f t="shared" si="2"/>
        <v>241600</v>
      </c>
      <c r="G56" s="136">
        <v>241600</v>
      </c>
      <c r="H56" s="45">
        <v>160000</v>
      </c>
      <c r="I56" s="6"/>
    </row>
    <row r="57" spans="1:9" ht="15.75" customHeight="1" x14ac:dyDescent="0.25">
      <c r="A57" s="82" t="s">
        <v>150</v>
      </c>
      <c r="B57" s="82" t="s">
        <v>49</v>
      </c>
      <c r="C57" s="82" t="s">
        <v>165</v>
      </c>
      <c r="D57" s="55" t="s">
        <v>8</v>
      </c>
      <c r="E57" s="58" t="s">
        <v>358</v>
      </c>
      <c r="F57" s="115">
        <f t="shared" si="2"/>
        <v>1200000</v>
      </c>
      <c r="G57" s="130"/>
      <c r="H57" s="45"/>
      <c r="I57" s="45">
        <v>1200000</v>
      </c>
    </row>
    <row r="58" spans="1:9" ht="15.75" customHeight="1" x14ac:dyDescent="0.25">
      <c r="A58" s="82" t="s">
        <v>179</v>
      </c>
      <c r="B58" s="82" t="s">
        <v>49</v>
      </c>
      <c r="C58" s="82" t="s">
        <v>165</v>
      </c>
      <c r="D58" s="55" t="s">
        <v>8</v>
      </c>
      <c r="E58" s="73" t="s">
        <v>482</v>
      </c>
      <c r="F58" s="115">
        <f t="shared" si="2"/>
        <v>74400</v>
      </c>
      <c r="G58" s="130">
        <v>74400</v>
      </c>
      <c r="H58" s="45"/>
      <c r="I58" s="45"/>
    </row>
    <row r="59" spans="1:9" ht="15.75" customHeight="1" x14ac:dyDescent="0.25">
      <c r="A59" s="82" t="s">
        <v>180</v>
      </c>
      <c r="B59" s="82" t="s">
        <v>49</v>
      </c>
      <c r="C59" s="82" t="s">
        <v>165</v>
      </c>
      <c r="D59" s="5" t="s">
        <v>18</v>
      </c>
      <c r="E59" s="5" t="s">
        <v>175</v>
      </c>
      <c r="F59" s="115">
        <f t="shared" si="2"/>
        <v>76700</v>
      </c>
      <c r="G59" s="130">
        <v>76700</v>
      </c>
      <c r="H59" s="45">
        <v>58560</v>
      </c>
      <c r="I59" s="45"/>
    </row>
    <row r="60" spans="1:9" ht="15.75" customHeight="1" x14ac:dyDescent="0.25">
      <c r="A60" s="82" t="s">
        <v>180</v>
      </c>
      <c r="B60" s="82" t="s">
        <v>49</v>
      </c>
      <c r="C60" s="82" t="s">
        <v>165</v>
      </c>
      <c r="D60" s="70" t="s">
        <v>19</v>
      </c>
      <c r="E60" s="5" t="s">
        <v>6</v>
      </c>
      <c r="F60" s="115">
        <f t="shared" si="2"/>
        <v>13900</v>
      </c>
      <c r="G60" s="130">
        <v>13900</v>
      </c>
      <c r="H60" s="45">
        <v>10614</v>
      </c>
      <c r="I60" s="45"/>
    </row>
    <row r="61" spans="1:9" ht="15.75" customHeight="1" x14ac:dyDescent="0.25">
      <c r="A61" s="82" t="s">
        <v>181</v>
      </c>
      <c r="B61" s="137" t="s">
        <v>48</v>
      </c>
      <c r="C61" s="137" t="s">
        <v>161</v>
      </c>
      <c r="D61" s="3" t="s">
        <v>8</v>
      </c>
      <c r="E61" s="14" t="s">
        <v>396</v>
      </c>
      <c r="F61" s="138">
        <f t="shared" si="2"/>
        <v>394000</v>
      </c>
      <c r="G61" s="136"/>
      <c r="H61" s="4"/>
      <c r="I61" s="4">
        <v>394000</v>
      </c>
    </row>
    <row r="62" spans="1:9" ht="15.75" customHeight="1" x14ac:dyDescent="0.25">
      <c r="A62" s="82" t="s">
        <v>182</v>
      </c>
      <c r="B62" s="82" t="s">
        <v>52</v>
      </c>
      <c r="C62" s="82" t="s">
        <v>46</v>
      </c>
      <c r="D62" s="74" t="s">
        <v>8</v>
      </c>
      <c r="E62" s="14" t="s">
        <v>481</v>
      </c>
      <c r="F62" s="138">
        <f t="shared" si="2"/>
        <v>279000</v>
      </c>
      <c r="G62" s="136"/>
      <c r="H62" s="4"/>
      <c r="I62" s="4">
        <v>279000</v>
      </c>
    </row>
    <row r="63" spans="1:9" ht="15.75" customHeight="1" x14ac:dyDescent="0.25">
      <c r="A63" s="82" t="s">
        <v>183</v>
      </c>
      <c r="B63" s="137" t="s">
        <v>51</v>
      </c>
      <c r="C63" s="82" t="s">
        <v>162</v>
      </c>
      <c r="D63" s="5" t="s">
        <v>323</v>
      </c>
      <c r="E63" s="14" t="s">
        <v>466</v>
      </c>
      <c r="F63" s="138">
        <f t="shared" si="2"/>
        <v>380000</v>
      </c>
      <c r="G63" s="136"/>
      <c r="H63" s="4"/>
      <c r="I63" s="4">
        <v>380000</v>
      </c>
    </row>
    <row r="64" spans="1:9" ht="15.75" customHeight="1" x14ac:dyDescent="0.25">
      <c r="A64" s="82" t="s">
        <v>252</v>
      </c>
      <c r="B64" s="82" t="s">
        <v>51</v>
      </c>
      <c r="C64" s="82" t="s">
        <v>162</v>
      </c>
      <c r="D64" s="55" t="s">
        <v>380</v>
      </c>
      <c r="E64" s="73" t="s">
        <v>386</v>
      </c>
      <c r="F64" s="138">
        <f t="shared" si="2"/>
        <v>56500</v>
      </c>
      <c r="G64" s="4">
        <v>56500</v>
      </c>
      <c r="H64" s="45">
        <v>12255</v>
      </c>
      <c r="I64" s="4"/>
    </row>
    <row r="65" spans="1:9" ht="15.75" customHeight="1" x14ac:dyDescent="0.25">
      <c r="A65" s="82" t="s">
        <v>253</v>
      </c>
      <c r="B65" s="84"/>
      <c r="C65" s="89"/>
      <c r="D65" s="249" t="s">
        <v>151</v>
      </c>
      <c r="E65" s="250"/>
      <c r="F65" s="90">
        <f>SUM(F14:F30,F34,F36:F52,F54,F57,F64,F56,F61,F63,F58:F60,F62)</f>
        <v>9267786</v>
      </c>
      <c r="G65" s="90">
        <f>SUM(G14:G30,G34,G36:G52,G54,G57,G64,G56,G61,G63,G58:G60,G62)</f>
        <v>7014786</v>
      </c>
      <c r="H65" s="90">
        <f>SUM(H14:H30,H34,H36:H52,H54,H57,H64,H56,H61,H63,H58:H60)</f>
        <v>1980441</v>
      </c>
      <c r="I65" s="91">
        <f>SUM(I14:I30,I34,I36:I52,I54,I57,I64,I56,I61,I63,I62)</f>
        <v>2253000</v>
      </c>
    </row>
  </sheetData>
  <mergeCells count="18">
    <mergeCell ref="E1:G1"/>
    <mergeCell ref="D65:E65"/>
    <mergeCell ref="D9:I9"/>
    <mergeCell ref="E10:E13"/>
    <mergeCell ref="F10:F13"/>
    <mergeCell ref="G10:I10"/>
    <mergeCell ref="G11:H11"/>
    <mergeCell ref="I11:I13"/>
    <mergeCell ref="G12:G13"/>
    <mergeCell ref="H12:H13"/>
    <mergeCell ref="E2:H2"/>
    <mergeCell ref="E3:H3"/>
    <mergeCell ref="A10:A13"/>
    <mergeCell ref="B10:B13"/>
    <mergeCell ref="C10:C13"/>
    <mergeCell ref="D10:D13"/>
    <mergeCell ref="A7:I7"/>
    <mergeCell ref="A8:I8"/>
  </mergeCells>
  <phoneticPr fontId="0" type="noConversion"/>
  <pageMargins left="0.15748031496062992" right="0" top="0.98425196850393704" bottom="0.39370078740157483" header="0.51181102362204722" footer="0.51181102362204722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L20" sqref="L20"/>
    </sheetView>
  </sheetViews>
  <sheetFormatPr defaultRowHeight="15.75" x14ac:dyDescent="0.25"/>
  <cols>
    <col min="1" max="1" width="5.42578125" style="16" customWidth="1"/>
    <col min="2" max="2" width="6.28515625" style="16" customWidth="1"/>
    <col min="3" max="3" width="10.140625" style="16" customWidth="1"/>
    <col min="4" max="4" width="41.5703125" style="16" customWidth="1"/>
    <col min="5" max="5" width="29.5703125" style="16" customWidth="1"/>
    <col min="6" max="6" width="10.5703125" style="16" customWidth="1"/>
    <col min="7" max="7" width="10.7109375" style="16" customWidth="1"/>
    <col min="8" max="8" width="11" style="16" customWidth="1"/>
    <col min="9" max="9" width="11.5703125" style="16" customWidth="1"/>
    <col min="10" max="16384" width="9.140625" style="16"/>
  </cols>
  <sheetData>
    <row r="1" spans="1:9" x14ac:dyDescent="0.25">
      <c r="F1" s="198" t="s">
        <v>80</v>
      </c>
      <c r="G1" s="198"/>
      <c r="H1" s="198"/>
    </row>
    <row r="2" spans="1:9" x14ac:dyDescent="0.25">
      <c r="F2" s="198" t="s">
        <v>488</v>
      </c>
      <c r="G2" s="198"/>
      <c r="H2" s="198"/>
      <c r="I2" s="198"/>
    </row>
    <row r="3" spans="1:9" x14ac:dyDescent="0.25">
      <c r="F3" s="198" t="s">
        <v>107</v>
      </c>
      <c r="G3" s="198"/>
      <c r="H3" s="36"/>
    </row>
    <row r="4" spans="1:9" ht="15" customHeight="1" x14ac:dyDescent="0.25">
      <c r="E4" s="92"/>
      <c r="F4" s="196" t="s">
        <v>499</v>
      </c>
      <c r="G4" s="196"/>
      <c r="H4" s="36"/>
    </row>
    <row r="5" spans="1:9" ht="15.75" customHeight="1" x14ac:dyDescent="0.25">
      <c r="E5" s="182"/>
      <c r="F5" s="1" t="s">
        <v>343</v>
      </c>
      <c r="G5" s="1"/>
      <c r="H5" s="1"/>
    </row>
    <row r="6" spans="1:9" ht="13.5" customHeight="1" x14ac:dyDescent="0.25">
      <c r="E6" s="1"/>
      <c r="F6" s="1"/>
      <c r="G6" s="1"/>
      <c r="H6" s="51"/>
      <c r="I6" s="51"/>
    </row>
    <row r="7" spans="1:9" ht="16.5" customHeight="1" x14ac:dyDescent="0.25">
      <c r="C7" s="24" t="s">
        <v>398</v>
      </c>
      <c r="D7" s="24"/>
      <c r="E7" s="24"/>
      <c r="F7" s="24"/>
      <c r="G7" s="24"/>
      <c r="H7" s="24"/>
    </row>
    <row r="8" spans="1:9" ht="14.25" customHeight="1" x14ac:dyDescent="0.25">
      <c r="C8" s="200" t="s">
        <v>184</v>
      </c>
      <c r="D8" s="200"/>
      <c r="E8" s="200"/>
      <c r="F8" s="200"/>
      <c r="G8" s="200"/>
      <c r="H8" s="200"/>
    </row>
    <row r="9" spans="1:9" ht="14.25" customHeight="1" x14ac:dyDescent="0.25">
      <c r="A9" s="17"/>
      <c r="B9" s="17"/>
      <c r="C9" s="17"/>
      <c r="D9" s="257" t="s">
        <v>124</v>
      </c>
      <c r="E9" s="257"/>
      <c r="F9" s="257"/>
      <c r="G9" s="257"/>
      <c r="H9" s="257"/>
    </row>
    <row r="10" spans="1:9" ht="8.25" hidden="1" customHeight="1" x14ac:dyDescent="0.25">
      <c r="A10" s="256" t="s">
        <v>60</v>
      </c>
      <c r="B10" s="256" t="s">
        <v>193</v>
      </c>
      <c r="C10" s="256" t="s">
        <v>194</v>
      </c>
      <c r="D10" s="256" t="s">
        <v>232</v>
      </c>
      <c r="E10" s="256" t="s">
        <v>125</v>
      </c>
      <c r="F10" s="233" t="s">
        <v>126</v>
      </c>
      <c r="G10" s="256"/>
      <c r="H10" s="256"/>
    </row>
    <row r="11" spans="1:9" ht="14.25" customHeight="1" x14ac:dyDescent="0.25">
      <c r="A11" s="256"/>
      <c r="B11" s="256"/>
      <c r="C11" s="256"/>
      <c r="D11" s="256"/>
      <c r="E11" s="256"/>
      <c r="F11" s="234"/>
      <c r="G11" s="256" t="s">
        <v>108</v>
      </c>
      <c r="H11" s="256"/>
      <c r="I11" s="233" t="s">
        <v>393</v>
      </c>
    </row>
    <row r="12" spans="1:9" ht="12.75" customHeight="1" x14ac:dyDescent="0.25">
      <c r="A12" s="256"/>
      <c r="B12" s="256"/>
      <c r="C12" s="256"/>
      <c r="D12" s="256"/>
      <c r="E12" s="256"/>
      <c r="F12" s="234"/>
      <c r="G12" s="256" t="s">
        <v>4</v>
      </c>
      <c r="H12" s="256" t="s">
        <v>109</v>
      </c>
      <c r="I12" s="234"/>
    </row>
    <row r="13" spans="1:9" ht="34.5" customHeight="1" x14ac:dyDescent="0.25">
      <c r="A13" s="256"/>
      <c r="B13" s="256"/>
      <c r="C13" s="256"/>
      <c r="D13" s="256"/>
      <c r="E13" s="256"/>
      <c r="F13" s="235"/>
      <c r="G13" s="256"/>
      <c r="H13" s="256"/>
      <c r="I13" s="235"/>
    </row>
    <row r="14" spans="1:9" ht="15.75" customHeight="1" x14ac:dyDescent="0.25">
      <c r="A14" s="19" t="s">
        <v>37</v>
      </c>
      <c r="B14" s="19" t="s">
        <v>51</v>
      </c>
      <c r="C14" s="19" t="s">
        <v>162</v>
      </c>
      <c r="D14" s="11" t="s">
        <v>368</v>
      </c>
      <c r="E14" s="4" t="s">
        <v>192</v>
      </c>
      <c r="F14" s="4">
        <f>SUM(G14+I14)</f>
        <v>729580</v>
      </c>
      <c r="G14" s="4">
        <v>716580</v>
      </c>
      <c r="H14" s="4">
        <v>526870</v>
      </c>
      <c r="I14" s="4">
        <v>13000</v>
      </c>
    </row>
    <row r="15" spans="1:9" ht="15.75" customHeight="1" x14ac:dyDescent="0.25">
      <c r="A15" s="19" t="s">
        <v>38</v>
      </c>
      <c r="B15" s="19" t="s">
        <v>51</v>
      </c>
      <c r="C15" s="19" t="s">
        <v>162</v>
      </c>
      <c r="D15" s="3" t="s">
        <v>369</v>
      </c>
      <c r="E15" s="4" t="s">
        <v>192</v>
      </c>
      <c r="F15" s="4">
        <f t="shared" ref="F15:F33" si="0">SUM(G15+I15)</f>
        <v>770717</v>
      </c>
      <c r="G15" s="4">
        <v>756710</v>
      </c>
      <c r="H15" s="4">
        <v>566810</v>
      </c>
      <c r="I15" s="4">
        <v>14007</v>
      </c>
    </row>
    <row r="16" spans="1:9" ht="15.75" customHeight="1" x14ac:dyDescent="0.25">
      <c r="A16" s="19" t="s">
        <v>39</v>
      </c>
      <c r="B16" s="19" t="s">
        <v>51</v>
      </c>
      <c r="C16" s="19" t="s">
        <v>162</v>
      </c>
      <c r="D16" s="3" t="s">
        <v>370</v>
      </c>
      <c r="E16" s="4" t="s">
        <v>192</v>
      </c>
      <c r="F16" s="4">
        <f t="shared" si="0"/>
        <v>105450</v>
      </c>
      <c r="G16" s="4">
        <v>98450</v>
      </c>
      <c r="H16" s="4">
        <v>73500</v>
      </c>
      <c r="I16" s="4">
        <v>7000</v>
      </c>
    </row>
    <row r="17" spans="1:9" ht="15.75" customHeight="1" x14ac:dyDescent="0.25">
      <c r="A17" s="19" t="s">
        <v>40</v>
      </c>
      <c r="B17" s="19" t="s">
        <v>51</v>
      </c>
      <c r="C17" s="19" t="s">
        <v>162</v>
      </c>
      <c r="D17" s="3" t="s">
        <v>371</v>
      </c>
      <c r="E17" s="4" t="s">
        <v>192</v>
      </c>
      <c r="F17" s="4">
        <f t="shared" si="0"/>
        <v>264300</v>
      </c>
      <c r="G17" s="4">
        <v>264300</v>
      </c>
      <c r="H17" s="4">
        <v>191100</v>
      </c>
      <c r="I17" s="4"/>
    </row>
    <row r="18" spans="1:9" ht="15.75" customHeight="1" x14ac:dyDescent="0.25">
      <c r="A18" s="19" t="s">
        <v>41</v>
      </c>
      <c r="B18" s="19" t="s">
        <v>51</v>
      </c>
      <c r="C18" s="19" t="s">
        <v>162</v>
      </c>
      <c r="D18" s="3" t="s">
        <v>372</v>
      </c>
      <c r="E18" s="4" t="s">
        <v>187</v>
      </c>
      <c r="F18" s="4">
        <f t="shared" si="0"/>
        <v>501290</v>
      </c>
      <c r="G18" s="4">
        <v>497390</v>
      </c>
      <c r="H18" s="4">
        <v>374180</v>
      </c>
      <c r="I18" s="4">
        <v>3900</v>
      </c>
    </row>
    <row r="19" spans="1:9" ht="15.75" customHeight="1" x14ac:dyDescent="0.25">
      <c r="A19" s="19" t="s">
        <v>42</v>
      </c>
      <c r="B19" s="19" t="s">
        <v>51</v>
      </c>
      <c r="C19" s="19" t="s">
        <v>162</v>
      </c>
      <c r="D19" s="3" t="s">
        <v>373</v>
      </c>
      <c r="E19" s="4" t="s">
        <v>187</v>
      </c>
      <c r="F19" s="4">
        <f t="shared" si="0"/>
        <v>453580</v>
      </c>
      <c r="G19" s="4">
        <v>451580</v>
      </c>
      <c r="H19" s="4">
        <v>339920</v>
      </c>
      <c r="I19" s="4">
        <v>2000</v>
      </c>
    </row>
    <row r="20" spans="1:9" ht="18.75" customHeight="1" x14ac:dyDescent="0.25">
      <c r="A20" s="19" t="s">
        <v>43</v>
      </c>
      <c r="B20" s="19" t="s">
        <v>51</v>
      </c>
      <c r="C20" s="19" t="s">
        <v>162</v>
      </c>
      <c r="D20" s="3" t="s">
        <v>374</v>
      </c>
      <c r="E20" s="4" t="s">
        <v>187</v>
      </c>
      <c r="F20" s="4">
        <f t="shared" si="0"/>
        <v>735510</v>
      </c>
      <c r="G20" s="4">
        <v>725811</v>
      </c>
      <c r="H20" s="5">
        <v>528680</v>
      </c>
      <c r="I20" s="4">
        <v>9699</v>
      </c>
    </row>
    <row r="21" spans="1:9" ht="15.75" customHeight="1" x14ac:dyDescent="0.25">
      <c r="A21" s="19" t="s">
        <v>44</v>
      </c>
      <c r="B21" s="19" t="s">
        <v>51</v>
      </c>
      <c r="C21" s="19" t="s">
        <v>162</v>
      </c>
      <c r="D21" s="2" t="s">
        <v>375</v>
      </c>
      <c r="E21" s="4" t="s">
        <v>187</v>
      </c>
      <c r="F21" s="4">
        <f t="shared" si="0"/>
        <v>647010</v>
      </c>
      <c r="G21" s="4">
        <v>633010</v>
      </c>
      <c r="H21" s="4">
        <v>476960</v>
      </c>
      <c r="I21" s="4">
        <v>14000</v>
      </c>
    </row>
    <row r="22" spans="1:9" ht="15.75" customHeight="1" x14ac:dyDescent="0.25">
      <c r="A22" s="19" t="s">
        <v>45</v>
      </c>
      <c r="B22" s="19" t="s">
        <v>51</v>
      </c>
      <c r="C22" s="19" t="s">
        <v>162</v>
      </c>
      <c r="D22" s="2" t="s">
        <v>376</v>
      </c>
      <c r="E22" s="4" t="s">
        <v>187</v>
      </c>
      <c r="F22" s="4">
        <f t="shared" si="0"/>
        <v>546561</v>
      </c>
      <c r="G22" s="4">
        <v>543061</v>
      </c>
      <c r="H22" s="4">
        <v>407840</v>
      </c>
      <c r="I22" s="4">
        <v>3500</v>
      </c>
    </row>
    <row r="23" spans="1:9" ht="15.75" customHeight="1" x14ac:dyDescent="0.25">
      <c r="A23" s="19" t="s">
        <v>46</v>
      </c>
      <c r="B23" s="19" t="s">
        <v>51</v>
      </c>
      <c r="C23" s="19" t="s">
        <v>162</v>
      </c>
      <c r="D23" s="2" t="s">
        <v>377</v>
      </c>
      <c r="E23" s="4" t="s">
        <v>187</v>
      </c>
      <c r="F23" s="4">
        <f t="shared" si="0"/>
        <v>514470</v>
      </c>
      <c r="G23" s="4">
        <v>514470</v>
      </c>
      <c r="H23" s="4">
        <v>386900</v>
      </c>
      <c r="I23" s="4"/>
    </row>
    <row r="24" spans="1:9" ht="15.75" customHeight="1" x14ac:dyDescent="0.25">
      <c r="A24" s="19" t="s">
        <v>47</v>
      </c>
      <c r="B24" s="19" t="s">
        <v>51</v>
      </c>
      <c r="C24" s="19" t="s">
        <v>162</v>
      </c>
      <c r="D24" s="4" t="s">
        <v>378</v>
      </c>
      <c r="E24" s="4" t="s">
        <v>187</v>
      </c>
      <c r="F24" s="4">
        <f t="shared" si="0"/>
        <v>937240</v>
      </c>
      <c r="G24" s="4">
        <v>904140</v>
      </c>
      <c r="H24" s="4">
        <v>674170</v>
      </c>
      <c r="I24" s="4">
        <v>33100</v>
      </c>
    </row>
    <row r="25" spans="1:9" ht="15.75" customHeight="1" x14ac:dyDescent="0.25">
      <c r="A25" s="19" t="s">
        <v>48</v>
      </c>
      <c r="B25" s="19" t="s">
        <v>51</v>
      </c>
      <c r="C25" s="19" t="s">
        <v>162</v>
      </c>
      <c r="D25" s="4" t="s">
        <v>379</v>
      </c>
      <c r="E25" s="4" t="s">
        <v>187</v>
      </c>
      <c r="F25" s="4">
        <f t="shared" si="0"/>
        <v>893460</v>
      </c>
      <c r="G25" s="4">
        <v>866460</v>
      </c>
      <c r="H25" s="4">
        <v>650160</v>
      </c>
      <c r="I25" s="4">
        <v>27000</v>
      </c>
    </row>
    <row r="26" spans="1:9" ht="15.75" customHeight="1" x14ac:dyDescent="0.25">
      <c r="A26" s="19" t="s">
        <v>49</v>
      </c>
      <c r="B26" s="19" t="s">
        <v>51</v>
      </c>
      <c r="C26" s="19" t="s">
        <v>162</v>
      </c>
      <c r="D26" s="4" t="s">
        <v>323</v>
      </c>
      <c r="E26" s="4" t="s">
        <v>187</v>
      </c>
      <c r="F26" s="4">
        <f t="shared" si="0"/>
        <v>1635940</v>
      </c>
      <c r="G26" s="4">
        <v>1585840</v>
      </c>
      <c r="H26" s="4">
        <v>1188020</v>
      </c>
      <c r="I26" s="4">
        <v>50100</v>
      </c>
    </row>
    <row r="27" spans="1:9" ht="15.75" customHeight="1" x14ac:dyDescent="0.25">
      <c r="A27" s="19" t="s">
        <v>50</v>
      </c>
      <c r="B27" s="19" t="s">
        <v>51</v>
      </c>
      <c r="C27" s="19" t="s">
        <v>162</v>
      </c>
      <c r="D27" s="3" t="s">
        <v>381</v>
      </c>
      <c r="E27" s="4" t="s">
        <v>187</v>
      </c>
      <c r="F27" s="4">
        <f t="shared" si="0"/>
        <v>1470580</v>
      </c>
      <c r="G27" s="4">
        <v>1460580</v>
      </c>
      <c r="H27" s="4">
        <v>1031520</v>
      </c>
      <c r="I27" s="4">
        <v>10000</v>
      </c>
    </row>
    <row r="28" spans="1:9" ht="15.75" customHeight="1" x14ac:dyDescent="0.25">
      <c r="A28" s="19" t="s">
        <v>51</v>
      </c>
      <c r="B28" s="19" t="s">
        <v>51</v>
      </c>
      <c r="C28" s="19" t="s">
        <v>162</v>
      </c>
      <c r="D28" s="3" t="s">
        <v>380</v>
      </c>
      <c r="E28" s="4" t="s">
        <v>187</v>
      </c>
      <c r="F28" s="4">
        <f t="shared" si="0"/>
        <v>3341880</v>
      </c>
      <c r="G28" s="4">
        <v>3221777</v>
      </c>
      <c r="H28" s="4">
        <v>2415660</v>
      </c>
      <c r="I28" s="4">
        <v>120103</v>
      </c>
    </row>
    <row r="29" spans="1:9" ht="15.75" customHeight="1" x14ac:dyDescent="0.25">
      <c r="A29" s="19" t="s">
        <v>52</v>
      </c>
      <c r="B29" s="19" t="s">
        <v>51</v>
      </c>
      <c r="C29" s="19" t="s">
        <v>162</v>
      </c>
      <c r="D29" s="3" t="s">
        <v>28</v>
      </c>
      <c r="E29" s="4" t="s">
        <v>188</v>
      </c>
      <c r="F29" s="4">
        <f t="shared" si="0"/>
        <v>67370</v>
      </c>
      <c r="G29" s="4">
        <v>67370</v>
      </c>
      <c r="H29" s="4">
        <v>51450</v>
      </c>
      <c r="I29" s="4"/>
    </row>
    <row r="30" spans="1:9" ht="15.75" customHeight="1" x14ac:dyDescent="0.25">
      <c r="A30" s="19" t="s">
        <v>53</v>
      </c>
      <c r="B30" s="19">
        <v>13</v>
      </c>
      <c r="C30" s="19" t="s">
        <v>162</v>
      </c>
      <c r="D30" s="3" t="s">
        <v>24</v>
      </c>
      <c r="E30" s="8" t="s">
        <v>320</v>
      </c>
      <c r="F30" s="4">
        <f t="shared" si="0"/>
        <v>84100</v>
      </c>
      <c r="G30" s="4">
        <v>84100</v>
      </c>
      <c r="H30" s="4">
        <v>64200</v>
      </c>
      <c r="I30" s="4"/>
    </row>
    <row r="31" spans="1:9" ht="15.75" customHeight="1" x14ac:dyDescent="0.25">
      <c r="A31" s="19" t="s">
        <v>54</v>
      </c>
      <c r="B31" s="19">
        <v>15</v>
      </c>
      <c r="C31" s="19" t="s">
        <v>162</v>
      </c>
      <c r="D31" s="8" t="s">
        <v>8</v>
      </c>
      <c r="E31" s="12" t="s">
        <v>402</v>
      </c>
      <c r="F31" s="4">
        <f t="shared" si="0"/>
        <v>104700</v>
      </c>
      <c r="G31" s="4">
        <v>104700</v>
      </c>
      <c r="H31" s="4"/>
      <c r="I31" s="4"/>
    </row>
    <row r="32" spans="1:9" ht="19.5" customHeight="1" x14ac:dyDescent="0.25">
      <c r="A32" s="19" t="s">
        <v>55</v>
      </c>
      <c r="B32" s="19">
        <v>15</v>
      </c>
      <c r="C32" s="19" t="s">
        <v>162</v>
      </c>
      <c r="D32" s="8" t="s">
        <v>8</v>
      </c>
      <c r="E32" s="4" t="s">
        <v>187</v>
      </c>
      <c r="F32" s="16">
        <f t="shared" si="0"/>
        <v>262</v>
      </c>
      <c r="G32" s="4">
        <v>262</v>
      </c>
      <c r="H32" s="4"/>
      <c r="I32" s="4"/>
    </row>
    <row r="33" spans="1:9" ht="18.75" customHeight="1" x14ac:dyDescent="0.25">
      <c r="A33" s="19" t="s">
        <v>483</v>
      </c>
      <c r="B33" s="208" t="s">
        <v>484</v>
      </c>
      <c r="C33" s="209"/>
      <c r="D33" s="209"/>
      <c r="E33" s="210"/>
      <c r="F33" s="4">
        <f t="shared" si="0"/>
        <v>262</v>
      </c>
      <c r="G33" s="4">
        <v>262</v>
      </c>
      <c r="H33" s="4"/>
      <c r="I33" s="4"/>
    </row>
    <row r="34" spans="1:9" ht="14.25" customHeight="1" x14ac:dyDescent="0.25">
      <c r="A34" s="19" t="s">
        <v>56</v>
      </c>
      <c r="B34" s="253" t="s">
        <v>382</v>
      </c>
      <c r="C34" s="254"/>
      <c r="D34" s="254"/>
      <c r="E34" s="255"/>
      <c r="F34" s="6">
        <f>SUM(G34,I34)</f>
        <v>13804000</v>
      </c>
      <c r="G34" s="6">
        <f>SUM(G14:G32)</f>
        <v>13496591</v>
      </c>
      <c r="H34" s="6">
        <f>SUM(H14:H32)</f>
        <v>9947940</v>
      </c>
      <c r="I34" s="6">
        <f>SUM(I14:I32)</f>
        <v>307409</v>
      </c>
    </row>
    <row r="36" spans="1:9" x14ac:dyDescent="0.25">
      <c r="E36" s="44"/>
    </row>
  </sheetData>
  <mergeCells count="18">
    <mergeCell ref="F1:H1"/>
    <mergeCell ref="F2:I2"/>
    <mergeCell ref="F3:G3"/>
    <mergeCell ref="A10:A13"/>
    <mergeCell ref="B10:B13"/>
    <mergeCell ref="C10:C13"/>
    <mergeCell ref="D10:D13"/>
    <mergeCell ref="C8:H8"/>
    <mergeCell ref="D9:H9"/>
    <mergeCell ref="G11:H11"/>
    <mergeCell ref="G12:G13"/>
    <mergeCell ref="H12:H13"/>
    <mergeCell ref="B33:E33"/>
    <mergeCell ref="B34:E34"/>
    <mergeCell ref="I11:I13"/>
    <mergeCell ref="E10:E13"/>
    <mergeCell ref="F10:F13"/>
    <mergeCell ref="G10:H10"/>
  </mergeCells>
  <phoneticPr fontId="0" type="noConversion"/>
  <pageMargins left="0.35433070866141736" right="0.19685039370078741" top="0.78740157480314965" bottom="0" header="0.51181102362204722" footer="0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A11" sqref="A11:H11"/>
    </sheetView>
  </sheetViews>
  <sheetFormatPr defaultRowHeight="15.75" x14ac:dyDescent="0.25"/>
  <cols>
    <col min="1" max="3" width="9.140625" style="51"/>
    <col min="4" max="4" width="6.42578125" style="51" customWidth="1"/>
    <col min="5" max="5" width="9.140625" style="51"/>
    <col min="6" max="6" width="12.28515625" style="51" customWidth="1"/>
    <col min="7" max="7" width="9.140625" style="51"/>
    <col min="8" max="8" width="13.5703125" style="51" customWidth="1"/>
    <col min="9" max="9" width="12" style="51" customWidth="1"/>
    <col min="10" max="10" width="9.5703125" style="51" bestFit="1" customWidth="1"/>
    <col min="11" max="11" width="12.7109375" style="51" bestFit="1" customWidth="1"/>
    <col min="12" max="12" width="9.140625" style="51"/>
    <col min="13" max="13" width="10.85546875" style="51" bestFit="1" customWidth="1"/>
    <col min="14" max="16384" width="9.140625" style="51"/>
  </cols>
  <sheetData>
    <row r="1" spans="1:9" ht="15.75" customHeight="1" x14ac:dyDescent="0.25">
      <c r="F1" s="198" t="s">
        <v>80</v>
      </c>
      <c r="G1" s="198"/>
      <c r="H1" s="198"/>
      <c r="I1" s="16"/>
    </row>
    <row r="2" spans="1:9" ht="15.75" customHeight="1" x14ac:dyDescent="0.25">
      <c r="F2" s="198" t="s">
        <v>488</v>
      </c>
      <c r="G2" s="198"/>
      <c r="H2" s="198"/>
      <c r="I2" s="198"/>
    </row>
    <row r="3" spans="1:9" ht="15.75" customHeight="1" x14ac:dyDescent="0.25">
      <c r="F3" s="258" t="s">
        <v>332</v>
      </c>
      <c r="G3" s="258"/>
      <c r="H3" s="258"/>
      <c r="I3" s="258"/>
    </row>
    <row r="4" spans="1:9" ht="15.75" customHeight="1" x14ac:dyDescent="0.25">
      <c r="F4" s="197" t="s">
        <v>498</v>
      </c>
      <c r="G4" s="196"/>
      <c r="H4" s="36"/>
    </row>
    <row r="5" spans="1:9" ht="15.75" customHeight="1" x14ac:dyDescent="0.25">
      <c r="F5" s="1" t="s">
        <v>343</v>
      </c>
      <c r="G5" s="1"/>
      <c r="H5" s="1"/>
    </row>
    <row r="6" spans="1:9" ht="16.5" customHeight="1" x14ac:dyDescent="0.25">
      <c r="A6" s="260" t="s">
        <v>422</v>
      </c>
      <c r="B6" s="260"/>
      <c r="C6" s="260"/>
      <c r="D6" s="260"/>
      <c r="E6" s="260"/>
      <c r="F6" s="260"/>
      <c r="G6" s="260"/>
      <c r="H6" s="260"/>
      <c r="I6" s="260"/>
    </row>
    <row r="7" spans="1:9" ht="14.25" customHeight="1" x14ac:dyDescent="0.25">
      <c r="A7" s="245" t="s">
        <v>123</v>
      </c>
      <c r="B7" s="245"/>
      <c r="C7" s="245"/>
      <c r="D7" s="245"/>
      <c r="E7" s="245"/>
      <c r="F7" s="245"/>
      <c r="G7" s="245"/>
      <c r="H7" s="245"/>
      <c r="I7" s="245"/>
    </row>
    <row r="8" spans="1:9" ht="14.25" customHeight="1" x14ac:dyDescent="0.25">
      <c r="A8" s="54"/>
      <c r="B8" s="54"/>
      <c r="C8" s="54"/>
      <c r="D8" s="54"/>
      <c r="E8" s="54"/>
      <c r="F8" s="54"/>
      <c r="G8" s="54"/>
      <c r="H8" s="54"/>
      <c r="I8" s="92" t="s">
        <v>124</v>
      </c>
    </row>
    <row r="9" spans="1:9" ht="30" customHeight="1" x14ac:dyDescent="0.25">
      <c r="A9" s="261" t="s">
        <v>425</v>
      </c>
      <c r="B9" s="262"/>
      <c r="C9" s="262"/>
      <c r="D9" s="262"/>
      <c r="E9" s="262"/>
      <c r="F9" s="262"/>
      <c r="G9" s="262"/>
      <c r="H9" s="263"/>
      <c r="I9" s="144" t="s">
        <v>411</v>
      </c>
    </row>
    <row r="10" spans="1:9" ht="15.75" customHeight="1" x14ac:dyDescent="0.25">
      <c r="A10" s="266" t="s">
        <v>100</v>
      </c>
      <c r="B10" s="266"/>
      <c r="C10" s="266"/>
      <c r="D10" s="266"/>
      <c r="E10" s="266"/>
      <c r="F10" s="266"/>
      <c r="G10" s="266"/>
      <c r="H10" s="267"/>
      <c r="I10" s="147"/>
    </row>
    <row r="11" spans="1:9" ht="17.25" customHeight="1" x14ac:dyDescent="0.25">
      <c r="A11" s="264" t="s">
        <v>325</v>
      </c>
      <c r="B11" s="264"/>
      <c r="C11" s="264"/>
      <c r="D11" s="264"/>
      <c r="E11" s="264"/>
      <c r="F11" s="264"/>
      <c r="G11" s="264"/>
      <c r="H11" s="264"/>
      <c r="I11" s="145">
        <v>50000</v>
      </c>
    </row>
    <row r="12" spans="1:9" ht="17.25" customHeight="1" x14ac:dyDescent="0.25">
      <c r="A12" s="264" t="s">
        <v>326</v>
      </c>
      <c r="B12" s="264"/>
      <c r="C12" s="264"/>
      <c r="D12" s="264"/>
      <c r="E12" s="264"/>
      <c r="F12" s="264"/>
      <c r="G12" s="264"/>
      <c r="H12" s="264"/>
      <c r="I12" s="145">
        <v>50000</v>
      </c>
    </row>
    <row r="13" spans="1:9" ht="17.25" customHeight="1" x14ac:dyDescent="0.25">
      <c r="A13" s="264" t="s">
        <v>327</v>
      </c>
      <c r="B13" s="264"/>
      <c r="C13" s="264"/>
      <c r="D13" s="264"/>
      <c r="E13" s="264"/>
      <c r="F13" s="264"/>
      <c r="G13" s="264"/>
      <c r="H13" s="264"/>
      <c r="I13" s="145">
        <v>10000</v>
      </c>
    </row>
    <row r="14" spans="1:9" ht="14.25" customHeight="1" x14ac:dyDescent="0.25">
      <c r="A14" s="268" t="s">
        <v>333</v>
      </c>
      <c r="B14" s="268"/>
      <c r="C14" s="268"/>
      <c r="D14" s="268"/>
      <c r="E14" s="268"/>
      <c r="F14" s="268"/>
      <c r="G14" s="268"/>
      <c r="H14" s="268"/>
      <c r="I14" s="146">
        <v>345590</v>
      </c>
    </row>
    <row r="15" spans="1:9" ht="15.75" customHeight="1" x14ac:dyDescent="0.25">
      <c r="A15" s="259" t="s">
        <v>101</v>
      </c>
      <c r="B15" s="259"/>
      <c r="C15" s="259"/>
      <c r="D15" s="259"/>
      <c r="E15" s="259"/>
      <c r="F15" s="259"/>
      <c r="G15" s="259"/>
      <c r="H15" s="259"/>
      <c r="I15" s="93"/>
    </row>
    <row r="16" spans="1:9" ht="17.25" customHeight="1" x14ac:dyDescent="0.25">
      <c r="A16" s="272" t="s">
        <v>102</v>
      </c>
      <c r="B16" s="273"/>
      <c r="C16" s="273"/>
      <c r="D16" s="273"/>
      <c r="E16" s="273"/>
      <c r="F16" s="273"/>
      <c r="G16" s="273"/>
      <c r="H16" s="274"/>
      <c r="I16" s="185">
        <v>27852</v>
      </c>
    </row>
    <row r="17" spans="1:9" ht="18" customHeight="1" x14ac:dyDescent="0.25">
      <c r="A17" s="269" t="s">
        <v>412</v>
      </c>
      <c r="B17" s="270"/>
      <c r="C17" s="270"/>
      <c r="D17" s="270"/>
      <c r="E17" s="270"/>
      <c r="F17" s="270"/>
      <c r="G17" s="270"/>
      <c r="H17" s="271"/>
      <c r="I17" s="187">
        <v>17852</v>
      </c>
    </row>
    <row r="18" spans="1:9" ht="18.75" customHeight="1" x14ac:dyDescent="0.25">
      <c r="A18" s="269" t="s">
        <v>413</v>
      </c>
      <c r="B18" s="270"/>
      <c r="C18" s="270"/>
      <c r="D18" s="270"/>
      <c r="E18" s="270"/>
      <c r="F18" s="270"/>
      <c r="G18" s="270"/>
      <c r="H18" s="271"/>
      <c r="I18" s="187">
        <v>10000</v>
      </c>
    </row>
    <row r="19" spans="1:9" ht="17.25" customHeight="1" x14ac:dyDescent="0.25">
      <c r="A19" s="272" t="s">
        <v>103</v>
      </c>
      <c r="B19" s="273"/>
      <c r="C19" s="273"/>
      <c r="D19" s="273"/>
      <c r="E19" s="273"/>
      <c r="F19" s="273"/>
      <c r="G19" s="273"/>
      <c r="H19" s="274"/>
      <c r="I19" s="185">
        <v>16000</v>
      </c>
    </row>
    <row r="20" spans="1:9" ht="32.25" customHeight="1" x14ac:dyDescent="0.25">
      <c r="A20" s="261" t="s">
        <v>414</v>
      </c>
      <c r="B20" s="262"/>
      <c r="C20" s="262"/>
      <c r="D20" s="262"/>
      <c r="E20" s="262"/>
      <c r="F20" s="262"/>
      <c r="G20" s="262"/>
      <c r="H20" s="265"/>
      <c r="I20" s="187">
        <v>6000</v>
      </c>
    </row>
    <row r="21" spans="1:9" ht="30" customHeight="1" x14ac:dyDescent="0.25">
      <c r="A21" s="261" t="s">
        <v>415</v>
      </c>
      <c r="B21" s="262"/>
      <c r="C21" s="262"/>
      <c r="D21" s="262"/>
      <c r="E21" s="262"/>
      <c r="F21" s="262"/>
      <c r="G21" s="262"/>
      <c r="H21" s="265"/>
      <c r="I21" s="187">
        <v>10000</v>
      </c>
    </row>
    <row r="22" spans="1:9" ht="16.5" customHeight="1" x14ac:dyDescent="0.25">
      <c r="A22" s="272" t="s">
        <v>104</v>
      </c>
      <c r="B22" s="273"/>
      <c r="C22" s="273"/>
      <c r="D22" s="273"/>
      <c r="E22" s="273"/>
      <c r="F22" s="273"/>
      <c r="G22" s="273"/>
      <c r="H22" s="274"/>
      <c r="I22" s="185">
        <v>49500</v>
      </c>
    </row>
    <row r="23" spans="1:9" ht="18" customHeight="1" x14ac:dyDescent="0.25">
      <c r="A23" s="211" t="s">
        <v>364</v>
      </c>
      <c r="B23" s="212"/>
      <c r="C23" s="212"/>
      <c r="D23" s="212"/>
      <c r="E23" s="212"/>
      <c r="F23" s="212"/>
      <c r="G23" s="212"/>
      <c r="H23" s="213"/>
      <c r="I23" s="188">
        <v>4000</v>
      </c>
    </row>
    <row r="24" spans="1:9" ht="16.5" customHeight="1" x14ac:dyDescent="0.25">
      <c r="A24" s="211" t="s">
        <v>416</v>
      </c>
      <c r="B24" s="212"/>
      <c r="C24" s="212"/>
      <c r="D24" s="212"/>
      <c r="E24" s="212"/>
      <c r="F24" s="212"/>
      <c r="G24" s="212"/>
      <c r="H24" s="213"/>
      <c r="I24" s="192">
        <v>3000</v>
      </c>
    </row>
    <row r="25" spans="1:9" ht="18" customHeight="1" x14ac:dyDescent="0.25">
      <c r="A25" s="211" t="s">
        <v>467</v>
      </c>
      <c r="B25" s="212"/>
      <c r="C25" s="212"/>
      <c r="D25" s="212"/>
      <c r="E25" s="212"/>
      <c r="F25" s="212"/>
      <c r="G25" s="212"/>
      <c r="H25" s="213"/>
      <c r="I25" s="192">
        <v>4200</v>
      </c>
    </row>
    <row r="26" spans="1:9" ht="30.75" customHeight="1" x14ac:dyDescent="0.25">
      <c r="A26" s="211" t="s">
        <v>468</v>
      </c>
      <c r="B26" s="212"/>
      <c r="C26" s="212"/>
      <c r="D26" s="212"/>
      <c r="E26" s="212"/>
      <c r="F26" s="212"/>
      <c r="G26" s="212"/>
      <c r="H26" s="213"/>
      <c r="I26" s="192">
        <v>3000</v>
      </c>
    </row>
    <row r="27" spans="1:9" ht="17.25" customHeight="1" x14ac:dyDescent="0.25">
      <c r="A27" s="209" t="s">
        <v>457</v>
      </c>
      <c r="B27" s="209"/>
      <c r="C27" s="209"/>
      <c r="D27" s="209"/>
      <c r="E27" s="209"/>
      <c r="F27" s="209"/>
      <c r="G27" s="209"/>
      <c r="H27" s="210"/>
      <c r="I27" s="191">
        <v>2800</v>
      </c>
    </row>
    <row r="28" spans="1:9" ht="30" customHeight="1" x14ac:dyDescent="0.25">
      <c r="A28" s="275" t="s">
        <v>458</v>
      </c>
      <c r="B28" s="276"/>
      <c r="C28" s="276"/>
      <c r="D28" s="276"/>
      <c r="E28" s="276"/>
      <c r="F28" s="276"/>
      <c r="G28" s="276"/>
      <c r="H28" s="277"/>
      <c r="I28" s="191">
        <v>900</v>
      </c>
    </row>
    <row r="29" spans="1:9" ht="16.5" customHeight="1" x14ac:dyDescent="0.25">
      <c r="A29" s="275" t="s">
        <v>469</v>
      </c>
      <c r="B29" s="276"/>
      <c r="C29" s="276"/>
      <c r="D29" s="276"/>
      <c r="E29" s="276"/>
      <c r="F29" s="276"/>
      <c r="G29" s="276"/>
      <c r="H29" s="277"/>
      <c r="I29" s="193">
        <v>14000</v>
      </c>
    </row>
    <row r="30" spans="1:9" ht="30" customHeight="1" x14ac:dyDescent="0.25">
      <c r="A30" s="275" t="s">
        <v>470</v>
      </c>
      <c r="B30" s="276"/>
      <c r="C30" s="276"/>
      <c r="D30" s="276"/>
      <c r="E30" s="276"/>
      <c r="F30" s="276"/>
      <c r="G30" s="276"/>
      <c r="H30" s="277"/>
      <c r="I30" s="191">
        <v>17600</v>
      </c>
    </row>
    <row r="31" spans="1:9" x14ac:dyDescent="0.25">
      <c r="A31" s="281" t="s">
        <v>472</v>
      </c>
      <c r="B31" s="282"/>
      <c r="C31" s="282"/>
      <c r="D31" s="282"/>
      <c r="E31" s="282"/>
      <c r="F31" s="282"/>
      <c r="G31" s="282"/>
      <c r="H31" s="283"/>
      <c r="I31" s="186">
        <v>24654</v>
      </c>
    </row>
    <row r="32" spans="1:9" ht="16.5" customHeight="1" x14ac:dyDescent="0.25">
      <c r="A32" s="261" t="s">
        <v>313</v>
      </c>
      <c r="B32" s="262"/>
      <c r="C32" s="262"/>
      <c r="D32" s="262"/>
      <c r="E32" s="262"/>
      <c r="F32" s="262"/>
      <c r="G32" s="262"/>
      <c r="H32" s="265"/>
      <c r="I32" s="187">
        <v>24654</v>
      </c>
    </row>
    <row r="33" spans="1:13" ht="16.5" customHeight="1" x14ac:dyDescent="0.25">
      <c r="A33" s="272" t="s">
        <v>105</v>
      </c>
      <c r="B33" s="273"/>
      <c r="C33" s="273"/>
      <c r="D33" s="273"/>
      <c r="E33" s="273"/>
      <c r="F33" s="273"/>
      <c r="G33" s="273"/>
      <c r="H33" s="274"/>
      <c r="I33" s="185">
        <v>218384</v>
      </c>
    </row>
    <row r="34" spans="1:13" ht="17.25" customHeight="1" x14ac:dyDescent="0.25">
      <c r="A34" s="269" t="s">
        <v>417</v>
      </c>
      <c r="B34" s="270"/>
      <c r="C34" s="270"/>
      <c r="D34" s="270"/>
      <c r="E34" s="270"/>
      <c r="F34" s="270"/>
      <c r="G34" s="270"/>
      <c r="H34" s="271"/>
      <c r="I34" s="189">
        <v>30000</v>
      </c>
    </row>
    <row r="35" spans="1:13" ht="31.5" customHeight="1" x14ac:dyDescent="0.25">
      <c r="A35" s="284" t="s">
        <v>473</v>
      </c>
      <c r="B35" s="285"/>
      <c r="C35" s="285"/>
      <c r="D35" s="285"/>
      <c r="E35" s="285"/>
      <c r="F35" s="285"/>
      <c r="G35" s="285"/>
      <c r="H35" s="285"/>
      <c r="I35" s="191">
        <v>60000</v>
      </c>
    </row>
    <row r="36" spans="1:13" ht="30.75" customHeight="1" x14ac:dyDescent="0.25">
      <c r="A36" s="286" t="s">
        <v>418</v>
      </c>
      <c r="B36" s="270"/>
      <c r="C36" s="270"/>
      <c r="D36" s="270"/>
      <c r="E36" s="270"/>
      <c r="F36" s="270"/>
      <c r="G36" s="270"/>
      <c r="H36" s="271"/>
      <c r="I36" s="190">
        <v>128384</v>
      </c>
      <c r="K36" s="95"/>
      <c r="M36" s="94"/>
    </row>
    <row r="37" spans="1:13" x14ac:dyDescent="0.25">
      <c r="A37" s="272" t="s">
        <v>106</v>
      </c>
      <c r="B37" s="273"/>
      <c r="C37" s="273"/>
      <c r="D37" s="273"/>
      <c r="E37" s="273"/>
      <c r="F37" s="273"/>
      <c r="G37" s="273"/>
      <c r="H37" s="274"/>
      <c r="I37" s="185">
        <v>9200</v>
      </c>
    </row>
    <row r="38" spans="1:13" x14ac:dyDescent="0.25">
      <c r="A38" s="286" t="s">
        <v>419</v>
      </c>
      <c r="B38" s="287"/>
      <c r="C38" s="287"/>
      <c r="D38" s="287"/>
      <c r="E38" s="287"/>
      <c r="F38" s="287"/>
      <c r="G38" s="287"/>
      <c r="H38" s="288"/>
      <c r="I38" s="187">
        <v>1200</v>
      </c>
    </row>
    <row r="39" spans="1:13" x14ac:dyDescent="0.25">
      <c r="A39" s="269" t="s">
        <v>420</v>
      </c>
      <c r="B39" s="270"/>
      <c r="C39" s="270"/>
      <c r="D39" s="270"/>
      <c r="E39" s="270"/>
      <c r="F39" s="270"/>
      <c r="G39" s="270"/>
      <c r="H39" s="271"/>
      <c r="I39" s="187">
        <v>5000</v>
      </c>
    </row>
    <row r="40" spans="1:13" x14ac:dyDescent="0.25">
      <c r="A40" s="269" t="s">
        <v>421</v>
      </c>
      <c r="B40" s="270"/>
      <c r="C40" s="270"/>
      <c r="D40" s="270"/>
      <c r="E40" s="270"/>
      <c r="F40" s="270"/>
      <c r="G40" s="270"/>
      <c r="H40" s="271"/>
      <c r="I40" s="187">
        <v>3000</v>
      </c>
    </row>
    <row r="41" spans="1:13" x14ac:dyDescent="0.25">
      <c r="A41" s="278" t="s">
        <v>471</v>
      </c>
      <c r="B41" s="279"/>
      <c r="C41" s="279"/>
      <c r="D41" s="279"/>
      <c r="E41" s="279"/>
      <c r="F41" s="279"/>
      <c r="G41" s="279"/>
      <c r="H41" s="280"/>
      <c r="I41" s="185">
        <v>345590</v>
      </c>
    </row>
  </sheetData>
  <mergeCells count="38">
    <mergeCell ref="A41:H41"/>
    <mergeCell ref="A19:H19"/>
    <mergeCell ref="A16:H16"/>
    <mergeCell ref="A17:H17"/>
    <mergeCell ref="A40:H40"/>
    <mergeCell ref="A31:H31"/>
    <mergeCell ref="A24:H24"/>
    <mergeCell ref="A35:H35"/>
    <mergeCell ref="A34:H34"/>
    <mergeCell ref="A39:H39"/>
    <mergeCell ref="A38:H38"/>
    <mergeCell ref="A23:H23"/>
    <mergeCell ref="A30:H30"/>
    <mergeCell ref="A32:H32"/>
    <mergeCell ref="A33:H33"/>
    <mergeCell ref="A36:H36"/>
    <mergeCell ref="A37:H37"/>
    <mergeCell ref="A25:H25"/>
    <mergeCell ref="A28:H28"/>
    <mergeCell ref="A22:H22"/>
    <mergeCell ref="A27:H27"/>
    <mergeCell ref="A29:H29"/>
    <mergeCell ref="A20:H20"/>
    <mergeCell ref="A26:H26"/>
    <mergeCell ref="A11:H11"/>
    <mergeCell ref="A10:H10"/>
    <mergeCell ref="A14:H14"/>
    <mergeCell ref="A18:H18"/>
    <mergeCell ref="A21:H21"/>
    <mergeCell ref="F1:H1"/>
    <mergeCell ref="F3:I3"/>
    <mergeCell ref="F2:I2"/>
    <mergeCell ref="A15:H15"/>
    <mergeCell ref="A6:I6"/>
    <mergeCell ref="A7:I7"/>
    <mergeCell ref="A9:H9"/>
    <mergeCell ref="A12:H12"/>
    <mergeCell ref="A13:H13"/>
  </mergeCells>
  <phoneticPr fontId="0" type="noConversion"/>
  <pageMargins left="1.1417322834645669" right="0.15748031496062992" top="0" bottom="0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L13" sqref="L13"/>
    </sheetView>
  </sheetViews>
  <sheetFormatPr defaultRowHeight="16.5" x14ac:dyDescent="0.25"/>
  <cols>
    <col min="1" max="1" width="6.85546875" style="1" customWidth="1"/>
    <col min="2" max="2" width="6.42578125" style="1" customWidth="1"/>
    <col min="3" max="3" width="52.5703125" style="1" customWidth="1"/>
    <col min="4" max="4" width="15.42578125" style="1" customWidth="1"/>
    <col min="5" max="5" width="13.42578125" style="1" customWidth="1"/>
    <col min="6" max="6" width="18.28515625" style="1" customWidth="1"/>
    <col min="7" max="7" width="12.5703125" style="1" customWidth="1"/>
    <col min="8" max="16384" width="9.140625" style="1"/>
  </cols>
  <sheetData>
    <row r="1" spans="1:9" x14ac:dyDescent="0.25">
      <c r="E1" s="198" t="s">
        <v>80</v>
      </c>
      <c r="F1" s="198"/>
      <c r="G1" s="198"/>
      <c r="H1" s="16"/>
    </row>
    <row r="2" spans="1:9" x14ac:dyDescent="0.25">
      <c r="E2" s="198" t="s">
        <v>488</v>
      </c>
      <c r="F2" s="198"/>
      <c r="G2" s="198"/>
      <c r="H2" s="198"/>
    </row>
    <row r="3" spans="1:9" x14ac:dyDescent="0.25">
      <c r="E3" s="16" t="s">
        <v>388</v>
      </c>
      <c r="F3" s="16"/>
      <c r="G3" s="16"/>
    </row>
    <row r="4" spans="1:9" x14ac:dyDescent="0.25">
      <c r="E4" s="196" t="s">
        <v>500</v>
      </c>
      <c r="F4" s="196"/>
      <c r="G4" s="36"/>
      <c r="H4" s="51"/>
      <c r="I4" s="51"/>
    </row>
    <row r="5" spans="1:9" ht="15" customHeight="1" x14ac:dyDescent="0.25">
      <c r="A5" s="16"/>
      <c r="B5" s="16"/>
      <c r="C5" s="16"/>
      <c r="D5" s="16"/>
      <c r="E5" s="1" t="s">
        <v>343</v>
      </c>
      <c r="H5" s="51"/>
      <c r="I5" s="51"/>
    </row>
    <row r="6" spans="1:9" ht="33.75" customHeight="1" x14ac:dyDescent="0.25">
      <c r="A6" s="16"/>
      <c r="B6" s="16"/>
      <c r="C6" s="290" t="s">
        <v>409</v>
      </c>
      <c r="D6" s="290"/>
      <c r="E6" s="290"/>
      <c r="F6" s="290"/>
      <c r="G6" s="13"/>
      <c r="H6" s="16"/>
    </row>
    <row r="7" spans="1:9" ht="15" customHeight="1" x14ac:dyDescent="0.25">
      <c r="A7" s="257" t="s">
        <v>124</v>
      </c>
      <c r="B7" s="257"/>
      <c r="C7" s="257"/>
      <c r="D7" s="257"/>
      <c r="E7" s="257"/>
      <c r="F7" s="257"/>
      <c r="G7" s="16"/>
      <c r="H7" s="16"/>
    </row>
    <row r="8" spans="1:9" ht="33.75" customHeight="1" x14ac:dyDescent="0.25">
      <c r="A8" s="289" t="s">
        <v>60</v>
      </c>
      <c r="B8" s="256" t="s">
        <v>153</v>
      </c>
      <c r="C8" s="256" t="s">
        <v>232</v>
      </c>
      <c r="D8" s="233" t="s">
        <v>426</v>
      </c>
      <c r="E8" s="289" t="s">
        <v>35</v>
      </c>
      <c r="F8" s="289" t="s">
        <v>79</v>
      </c>
      <c r="G8" s="289" t="s">
        <v>427</v>
      </c>
      <c r="H8" s="16"/>
    </row>
    <row r="9" spans="1:9" ht="23.25" customHeight="1" x14ac:dyDescent="0.25">
      <c r="A9" s="289"/>
      <c r="B9" s="256"/>
      <c r="C9" s="256"/>
      <c r="D9" s="234"/>
      <c r="E9" s="289"/>
      <c r="F9" s="289"/>
      <c r="G9" s="289"/>
      <c r="H9" s="16"/>
    </row>
    <row r="10" spans="1:9" ht="17.25" customHeight="1" x14ac:dyDescent="0.25">
      <c r="A10" s="289"/>
      <c r="B10" s="256"/>
      <c r="C10" s="256"/>
      <c r="D10" s="235"/>
      <c r="E10" s="289"/>
      <c r="F10" s="289"/>
      <c r="G10" s="289"/>
      <c r="H10" s="16"/>
    </row>
    <row r="11" spans="1:9" ht="16.5" customHeight="1" x14ac:dyDescent="0.25">
      <c r="A11" s="25" t="s">
        <v>37</v>
      </c>
      <c r="B11" s="26" t="s">
        <v>51</v>
      </c>
      <c r="C11" s="3" t="s">
        <v>370</v>
      </c>
      <c r="D11" s="149"/>
      <c r="E11" s="27"/>
      <c r="F11" s="28">
        <v>13000</v>
      </c>
      <c r="G11" s="4">
        <f>SUM(D11:F11)</f>
        <v>13000</v>
      </c>
      <c r="H11" s="16"/>
    </row>
    <row r="12" spans="1:9" ht="16.5" customHeight="1" x14ac:dyDescent="0.25">
      <c r="A12" s="26" t="s">
        <v>38</v>
      </c>
      <c r="B12" s="26" t="s">
        <v>51</v>
      </c>
      <c r="C12" s="3" t="s">
        <v>371</v>
      </c>
      <c r="D12" s="149"/>
      <c r="E12" s="27"/>
      <c r="F12" s="28">
        <v>33500</v>
      </c>
      <c r="G12" s="4">
        <f t="shared" ref="G12:G30" si="0">SUM(D12:F12)</f>
        <v>33500</v>
      </c>
      <c r="H12" s="16"/>
    </row>
    <row r="13" spans="1:9" ht="16.5" customHeight="1" x14ac:dyDescent="0.25">
      <c r="A13" s="26" t="s">
        <v>39</v>
      </c>
      <c r="B13" s="26" t="s">
        <v>51</v>
      </c>
      <c r="C13" s="11" t="s">
        <v>368</v>
      </c>
      <c r="D13" s="155">
        <v>1979</v>
      </c>
      <c r="E13" s="27"/>
      <c r="F13" s="28">
        <v>93000</v>
      </c>
      <c r="G13" s="4">
        <f t="shared" si="0"/>
        <v>94979</v>
      </c>
      <c r="H13" s="16"/>
    </row>
    <row r="14" spans="1:9" ht="16.5" customHeight="1" x14ac:dyDescent="0.25">
      <c r="A14" s="26" t="s">
        <v>40</v>
      </c>
      <c r="B14" s="26" t="s">
        <v>51</v>
      </c>
      <c r="C14" s="3" t="s">
        <v>369</v>
      </c>
      <c r="D14" s="151"/>
      <c r="E14" s="27"/>
      <c r="F14" s="28">
        <v>95000</v>
      </c>
      <c r="G14" s="4">
        <f t="shared" si="0"/>
        <v>95000</v>
      </c>
      <c r="H14" s="16"/>
    </row>
    <row r="15" spans="1:9" ht="16.5" customHeight="1" x14ac:dyDescent="0.25">
      <c r="A15" s="26" t="s">
        <v>41</v>
      </c>
      <c r="B15" s="26" t="s">
        <v>51</v>
      </c>
      <c r="C15" s="3" t="s">
        <v>380</v>
      </c>
      <c r="D15" s="151"/>
      <c r="E15" s="27">
        <v>26000</v>
      </c>
      <c r="F15" s="28"/>
      <c r="G15" s="4">
        <f t="shared" si="0"/>
        <v>26000</v>
      </c>
      <c r="H15" s="16"/>
    </row>
    <row r="16" spans="1:9" ht="16.5" customHeight="1" x14ac:dyDescent="0.25">
      <c r="A16" s="26" t="s">
        <v>42</v>
      </c>
      <c r="B16" s="26" t="s">
        <v>51</v>
      </c>
      <c r="C16" s="10" t="s">
        <v>323</v>
      </c>
      <c r="D16" s="156"/>
      <c r="E16" s="27"/>
      <c r="F16" s="28">
        <v>1600</v>
      </c>
      <c r="G16" s="4">
        <f t="shared" si="0"/>
        <v>1600</v>
      </c>
      <c r="H16" s="16"/>
    </row>
    <row r="17" spans="1:8" ht="16.5" customHeight="1" x14ac:dyDescent="0.25">
      <c r="A17" s="26" t="s">
        <v>43</v>
      </c>
      <c r="B17" s="26" t="s">
        <v>51</v>
      </c>
      <c r="C17" s="3" t="s">
        <v>381</v>
      </c>
      <c r="D17" s="151"/>
      <c r="E17" s="27"/>
      <c r="F17" s="141">
        <v>2200</v>
      </c>
      <c r="G17" s="4">
        <f t="shared" si="0"/>
        <v>2200</v>
      </c>
      <c r="H17" s="16"/>
    </row>
    <row r="18" spans="1:8" ht="16.5" customHeight="1" x14ac:dyDescent="0.25">
      <c r="A18" s="26" t="s">
        <v>44</v>
      </c>
      <c r="B18" s="26" t="s">
        <v>51</v>
      </c>
      <c r="C18" s="4" t="s">
        <v>378</v>
      </c>
      <c r="D18" s="19"/>
      <c r="E18" s="27"/>
      <c r="F18" s="28">
        <v>500</v>
      </c>
      <c r="G18" s="4">
        <f t="shared" si="0"/>
        <v>500</v>
      </c>
      <c r="H18" s="16"/>
    </row>
    <row r="19" spans="1:8" ht="16.5" customHeight="1" x14ac:dyDescent="0.25">
      <c r="A19" s="26" t="s">
        <v>45</v>
      </c>
      <c r="B19" s="26" t="s">
        <v>51</v>
      </c>
      <c r="C19" s="4" t="s">
        <v>379</v>
      </c>
      <c r="D19" s="19"/>
      <c r="E19" s="27"/>
      <c r="F19" s="28">
        <v>600</v>
      </c>
      <c r="G19" s="4">
        <f t="shared" si="0"/>
        <v>600</v>
      </c>
      <c r="H19" s="16"/>
    </row>
    <row r="20" spans="1:8" ht="16.5" customHeight="1" x14ac:dyDescent="0.25">
      <c r="A20" s="26" t="s">
        <v>46</v>
      </c>
      <c r="B20" s="26" t="s">
        <v>51</v>
      </c>
      <c r="C20" s="2" t="s">
        <v>376</v>
      </c>
      <c r="D20" s="150"/>
      <c r="E20" s="27"/>
      <c r="F20" s="28">
        <v>200</v>
      </c>
      <c r="G20" s="4">
        <f t="shared" si="0"/>
        <v>200</v>
      </c>
      <c r="H20" s="16"/>
    </row>
    <row r="21" spans="1:8" ht="16.5" customHeight="1" x14ac:dyDescent="0.25">
      <c r="A21" s="26" t="s">
        <v>47</v>
      </c>
      <c r="B21" s="26" t="s">
        <v>51</v>
      </c>
      <c r="C21" s="2" t="s">
        <v>375</v>
      </c>
      <c r="D21" s="150"/>
      <c r="E21" s="27"/>
      <c r="F21" s="28">
        <v>9000</v>
      </c>
      <c r="G21" s="4">
        <f t="shared" si="0"/>
        <v>9000</v>
      </c>
      <c r="H21" s="16"/>
    </row>
    <row r="22" spans="1:8" ht="16.5" customHeight="1" x14ac:dyDescent="0.25">
      <c r="A22" s="26" t="s">
        <v>48</v>
      </c>
      <c r="B22" s="26" t="s">
        <v>51</v>
      </c>
      <c r="C22" s="10" t="s">
        <v>28</v>
      </c>
      <c r="D22" s="156">
        <v>8542</v>
      </c>
      <c r="E22" s="27"/>
      <c r="F22" s="28">
        <v>111290</v>
      </c>
      <c r="G22" s="4">
        <f t="shared" si="0"/>
        <v>119832</v>
      </c>
      <c r="H22" s="16"/>
    </row>
    <row r="23" spans="1:8" ht="16.5" customHeight="1" x14ac:dyDescent="0.25">
      <c r="A23" s="26" t="s">
        <v>490</v>
      </c>
      <c r="B23" s="26"/>
      <c r="C23" s="10" t="s">
        <v>491</v>
      </c>
      <c r="D23" s="156"/>
      <c r="E23" s="27"/>
      <c r="F23" s="28"/>
      <c r="G23" s="4">
        <v>32800</v>
      </c>
      <c r="H23" s="16"/>
    </row>
    <row r="24" spans="1:8" ht="16.5" customHeight="1" x14ac:dyDescent="0.25">
      <c r="A24" s="26" t="s">
        <v>49</v>
      </c>
      <c r="B24" s="26" t="s">
        <v>49</v>
      </c>
      <c r="C24" s="10" t="s">
        <v>24</v>
      </c>
      <c r="D24" s="156"/>
      <c r="E24" s="27">
        <v>50000</v>
      </c>
      <c r="F24" s="28"/>
      <c r="G24" s="4">
        <f t="shared" si="0"/>
        <v>50000</v>
      </c>
      <c r="H24" s="16"/>
    </row>
    <row r="25" spans="1:8" ht="16.5" customHeight="1" x14ac:dyDescent="0.25">
      <c r="A25" s="26" t="s">
        <v>50</v>
      </c>
      <c r="B25" s="26" t="s">
        <v>52</v>
      </c>
      <c r="C25" s="10" t="s">
        <v>117</v>
      </c>
      <c r="D25" s="156"/>
      <c r="E25" s="27"/>
      <c r="F25" s="28">
        <v>88000</v>
      </c>
      <c r="G25" s="4">
        <f t="shared" si="0"/>
        <v>88000</v>
      </c>
      <c r="H25" s="16"/>
    </row>
    <row r="26" spans="1:8" ht="16.5" customHeight="1" x14ac:dyDescent="0.25">
      <c r="A26" s="26" t="s">
        <v>51</v>
      </c>
      <c r="B26" s="29" t="s">
        <v>48</v>
      </c>
      <c r="C26" s="67" t="s">
        <v>122</v>
      </c>
      <c r="D26" s="157"/>
      <c r="E26" s="30">
        <v>9000</v>
      </c>
      <c r="F26" s="31"/>
      <c r="G26" s="4">
        <f t="shared" si="0"/>
        <v>9000</v>
      </c>
      <c r="H26" s="16"/>
    </row>
    <row r="27" spans="1:8" ht="16.5" customHeight="1" x14ac:dyDescent="0.25">
      <c r="A27" s="26" t="s">
        <v>464</v>
      </c>
      <c r="B27" s="29"/>
      <c r="C27" s="10" t="s">
        <v>491</v>
      </c>
      <c r="D27" s="157"/>
      <c r="E27" s="30"/>
      <c r="F27" s="31"/>
      <c r="G27" s="4">
        <v>1990</v>
      </c>
      <c r="H27" s="16"/>
    </row>
    <row r="28" spans="1:8" ht="16.5" customHeight="1" x14ac:dyDescent="0.25">
      <c r="A28" s="26" t="s">
        <v>52</v>
      </c>
      <c r="B28" s="29" t="s">
        <v>49</v>
      </c>
      <c r="C28" s="7" t="s">
        <v>18</v>
      </c>
      <c r="D28" s="157"/>
      <c r="E28" s="30">
        <v>4000</v>
      </c>
      <c r="F28" s="31"/>
      <c r="G28" s="4">
        <f t="shared" si="0"/>
        <v>4000</v>
      </c>
      <c r="H28" s="16"/>
    </row>
    <row r="29" spans="1:8" ht="16.5" customHeight="1" x14ac:dyDescent="0.25">
      <c r="A29" s="26" t="s">
        <v>53</v>
      </c>
      <c r="B29" s="29" t="s">
        <v>497</v>
      </c>
      <c r="C29" s="55" t="s">
        <v>374</v>
      </c>
      <c r="D29" s="157"/>
      <c r="E29" s="30"/>
      <c r="F29" s="31">
        <v>500</v>
      </c>
      <c r="G29" s="4">
        <f t="shared" si="0"/>
        <v>500</v>
      </c>
      <c r="H29" s="16"/>
    </row>
    <row r="30" spans="1:8" ht="22.5" customHeight="1" x14ac:dyDescent="0.25">
      <c r="A30" s="26" t="s">
        <v>53</v>
      </c>
      <c r="B30" s="26"/>
      <c r="C30" s="18" t="s">
        <v>4</v>
      </c>
      <c r="D30" s="131">
        <f>SUM(D11:D28)</f>
        <v>10521</v>
      </c>
      <c r="E30" s="131">
        <f>SUM(E11:E28)</f>
        <v>89000</v>
      </c>
      <c r="F30" s="131">
        <f>SUM(F11:F29)</f>
        <v>448390</v>
      </c>
      <c r="G30" s="6">
        <f t="shared" si="0"/>
        <v>547911</v>
      </c>
      <c r="H30" s="16"/>
    </row>
  </sheetData>
  <mergeCells count="11">
    <mergeCell ref="E1:G1"/>
    <mergeCell ref="E8:E10"/>
    <mergeCell ref="C6:F6"/>
    <mergeCell ref="F8:F10"/>
    <mergeCell ref="G8:G10"/>
    <mergeCell ref="D8:D10"/>
    <mergeCell ref="A8:A10"/>
    <mergeCell ref="A7:F7"/>
    <mergeCell ref="B8:B10"/>
    <mergeCell ref="C8:C10"/>
    <mergeCell ref="E2:H2"/>
  </mergeCells>
  <phoneticPr fontId="0" type="noConversion"/>
  <pageMargins left="0.55118110236220474" right="0.55118110236220474" top="0.39370078740157483" bottom="0" header="0.51181102362204722" footer="0.51181102362204722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150"/>
  <sheetViews>
    <sheetView workbookViewId="0">
      <selection activeCell="F153" sqref="F153"/>
    </sheetView>
  </sheetViews>
  <sheetFormatPr defaultRowHeight="16.5" x14ac:dyDescent="0.25"/>
  <cols>
    <col min="1" max="1" width="5.7109375" style="53" customWidth="1"/>
    <col min="2" max="2" width="26.5703125" style="53" customWidth="1"/>
    <col min="3" max="3" width="34.28515625" style="53" customWidth="1"/>
    <col min="4" max="4" width="11" style="53" customWidth="1"/>
    <col min="5" max="5" width="10.28515625" style="53" customWidth="1"/>
    <col min="6" max="7" width="11.28515625" style="53" customWidth="1"/>
    <col min="8" max="8" width="10.140625" style="53" customWidth="1"/>
    <col min="9" max="9" width="11.140625" style="53" customWidth="1"/>
    <col min="10" max="10" width="12.28515625" style="53" customWidth="1"/>
    <col min="11" max="16384" width="9.140625" style="53"/>
  </cols>
  <sheetData>
    <row r="1" spans="1:9" ht="15" customHeight="1" x14ac:dyDescent="0.25">
      <c r="A1" s="51"/>
      <c r="B1" s="51"/>
      <c r="C1" s="51"/>
      <c r="D1" s="198" t="s">
        <v>80</v>
      </c>
      <c r="E1" s="198"/>
      <c r="F1" s="198"/>
      <c r="G1" s="16"/>
      <c r="H1" s="51"/>
      <c r="I1" s="51"/>
    </row>
    <row r="2" spans="1:9" ht="15" customHeight="1" x14ac:dyDescent="0.25">
      <c r="A2" s="51"/>
      <c r="B2" s="51"/>
      <c r="C2" s="51"/>
      <c r="D2" s="198" t="s">
        <v>488</v>
      </c>
      <c r="E2" s="198"/>
      <c r="F2" s="198"/>
      <c r="G2" s="198"/>
      <c r="H2" s="52"/>
      <c r="I2" s="51"/>
    </row>
    <row r="3" spans="1:9" ht="14.25" customHeight="1" x14ac:dyDescent="0.25">
      <c r="A3" s="51"/>
      <c r="B3" s="51"/>
      <c r="C3" s="51"/>
      <c r="D3" s="35" t="s">
        <v>336</v>
      </c>
      <c r="E3" s="35"/>
      <c r="F3" s="35"/>
      <c r="G3" s="16"/>
      <c r="H3" s="52"/>
      <c r="I3" s="51"/>
    </row>
    <row r="4" spans="1:9" ht="12.75" customHeight="1" x14ac:dyDescent="0.25">
      <c r="A4" s="51"/>
      <c r="B4" s="51"/>
      <c r="C4" s="51"/>
      <c r="D4" s="196" t="s">
        <v>496</v>
      </c>
      <c r="E4" s="196"/>
      <c r="F4" s="36"/>
      <c r="G4" s="51"/>
      <c r="H4" s="51"/>
      <c r="I4" s="51"/>
    </row>
    <row r="5" spans="1:9" ht="13.5" customHeight="1" x14ac:dyDescent="0.25">
      <c r="A5" s="51"/>
      <c r="B5" s="51"/>
      <c r="C5" s="51"/>
      <c r="D5" s="1" t="s">
        <v>343</v>
      </c>
      <c r="E5" s="1"/>
      <c r="F5" s="1"/>
      <c r="G5" s="51"/>
      <c r="H5" s="51"/>
      <c r="I5" s="51"/>
    </row>
    <row r="6" spans="1:9" ht="17.25" customHeight="1" x14ac:dyDescent="0.25">
      <c r="A6" s="51"/>
      <c r="B6" s="248" t="s">
        <v>405</v>
      </c>
      <c r="C6" s="248"/>
      <c r="D6" s="248"/>
      <c r="E6" s="248"/>
      <c r="F6" s="248"/>
      <c r="G6" s="248"/>
      <c r="H6" s="248"/>
      <c r="I6" s="248"/>
    </row>
    <row r="7" spans="1:9" ht="15.75" customHeight="1" x14ac:dyDescent="0.25">
      <c r="A7" s="51"/>
      <c r="B7" s="248" t="s">
        <v>208</v>
      </c>
      <c r="C7" s="248"/>
      <c r="D7" s="248"/>
      <c r="E7" s="248"/>
      <c r="F7" s="248"/>
      <c r="G7" s="248"/>
      <c r="H7" s="248"/>
      <c r="I7" s="248"/>
    </row>
    <row r="8" spans="1:9" ht="13.5" customHeight="1" x14ac:dyDescent="0.25">
      <c r="A8" s="51"/>
      <c r="B8" s="246" t="s">
        <v>124</v>
      </c>
      <c r="C8" s="246"/>
      <c r="D8" s="246"/>
      <c r="E8" s="246"/>
      <c r="F8" s="246"/>
      <c r="G8" s="246"/>
      <c r="H8" s="246"/>
      <c r="I8" s="246"/>
    </row>
    <row r="9" spans="1:9" ht="16.5" customHeight="1" x14ac:dyDescent="0.25">
      <c r="A9" s="297" t="s">
        <v>60</v>
      </c>
      <c r="B9" s="243" t="s">
        <v>233</v>
      </c>
      <c r="C9" s="243" t="s">
        <v>197</v>
      </c>
      <c r="D9" s="240" t="s">
        <v>13</v>
      </c>
      <c r="E9" s="300" t="s">
        <v>198</v>
      </c>
      <c r="F9" s="300"/>
      <c r="G9" s="300"/>
      <c r="H9" s="300"/>
      <c r="I9" s="300"/>
    </row>
    <row r="10" spans="1:9" x14ac:dyDescent="0.25">
      <c r="A10" s="298"/>
      <c r="B10" s="243"/>
      <c r="C10" s="243"/>
      <c r="D10" s="241"/>
      <c r="E10" s="243" t="s">
        <v>203</v>
      </c>
      <c r="F10" s="300" t="s">
        <v>11</v>
      </c>
      <c r="G10" s="300"/>
      <c r="H10" s="243" t="s">
        <v>389</v>
      </c>
      <c r="I10" s="243" t="s">
        <v>335</v>
      </c>
    </row>
    <row r="11" spans="1:9" ht="16.5" customHeight="1" x14ac:dyDescent="0.25">
      <c r="A11" s="298"/>
      <c r="B11" s="243"/>
      <c r="C11" s="243"/>
      <c r="D11" s="241"/>
      <c r="E11" s="243"/>
      <c r="F11" s="243" t="s">
        <v>334</v>
      </c>
      <c r="G11" s="243" t="s">
        <v>199</v>
      </c>
      <c r="H11" s="243"/>
      <c r="I11" s="243"/>
    </row>
    <row r="12" spans="1:9" x14ac:dyDescent="0.25">
      <c r="A12" s="298"/>
      <c r="B12" s="243"/>
      <c r="C12" s="243"/>
      <c r="D12" s="241"/>
      <c r="E12" s="243"/>
      <c r="F12" s="243"/>
      <c r="G12" s="243"/>
      <c r="H12" s="243"/>
      <c r="I12" s="243"/>
    </row>
    <row r="13" spans="1:9" ht="15.75" customHeight="1" x14ac:dyDescent="0.25">
      <c r="A13" s="298"/>
      <c r="B13" s="240"/>
      <c r="C13" s="240"/>
      <c r="D13" s="241"/>
      <c r="E13" s="240"/>
      <c r="F13" s="240"/>
      <c r="G13" s="240"/>
      <c r="H13" s="240"/>
      <c r="I13" s="240"/>
    </row>
    <row r="14" spans="1:9" ht="17.25" customHeight="1" x14ac:dyDescent="0.25">
      <c r="A14" s="293" t="s">
        <v>247</v>
      </c>
      <c r="B14" s="293"/>
      <c r="C14" s="293"/>
      <c r="D14" s="293"/>
      <c r="E14" s="293"/>
      <c r="F14" s="293"/>
      <c r="G14" s="293"/>
      <c r="H14" s="293"/>
      <c r="I14" s="293"/>
    </row>
    <row r="15" spans="1:9" ht="16.5" customHeight="1" x14ac:dyDescent="0.25">
      <c r="A15" s="83" t="s">
        <v>37</v>
      </c>
      <c r="B15" s="96" t="s">
        <v>8</v>
      </c>
      <c r="C15" s="9" t="s">
        <v>195</v>
      </c>
      <c r="D15" s="9">
        <f t="shared" ref="D15:D21" si="0">SUM(E15:I15)</f>
        <v>393320</v>
      </c>
      <c r="E15" s="9">
        <f>SUM('sav.f. 3 '!F15)</f>
        <v>393320</v>
      </c>
      <c r="F15" s="9"/>
      <c r="G15" s="9"/>
      <c r="H15" s="9"/>
      <c r="I15" s="97"/>
    </row>
    <row r="16" spans="1:9" ht="35.25" customHeight="1" x14ac:dyDescent="0.25">
      <c r="A16" s="82" t="s">
        <v>38</v>
      </c>
      <c r="B16" s="56" t="s">
        <v>196</v>
      </c>
      <c r="C16" s="34" t="s">
        <v>229</v>
      </c>
      <c r="D16" s="5">
        <f t="shared" si="0"/>
        <v>181200</v>
      </c>
      <c r="E16" s="5">
        <f>SUM('sav.f. 3 '!F17)</f>
        <v>181200</v>
      </c>
      <c r="F16" s="5"/>
      <c r="G16" s="5"/>
      <c r="H16" s="5"/>
      <c r="I16" s="69"/>
    </row>
    <row r="17" spans="1:9" ht="16.5" customHeight="1" x14ac:dyDescent="0.25">
      <c r="A17" s="82" t="s">
        <v>39</v>
      </c>
      <c r="B17" s="55" t="s">
        <v>8</v>
      </c>
      <c r="C17" s="5" t="s">
        <v>230</v>
      </c>
      <c r="D17" s="45">
        <f t="shared" si="0"/>
        <v>7163136</v>
      </c>
      <c r="E17" s="45">
        <v>5830299</v>
      </c>
      <c r="F17" s="45">
        <f>SUM('Valst.f. 4'!F14,'Valst.f. 4'!F15,'Valst.f. 4'!F16,'Valst.f. 4'!F17,'Valst.f. 4'!F19,'Valst.f. 4'!F20,'Valst.f. 4'!F21,'Valst.f. 4'!F22,'Valst.f. 4'!F24,'Valst.f. 4'!F25,'Valst.f. 4'!F27,'Valst.f. 4'!F33,'Valst.f. 4'!F53,'Valst.f. 4'!F18,'Valst.f. 4'!F35)</f>
        <v>1174529</v>
      </c>
      <c r="G17" s="45"/>
      <c r="H17" s="5">
        <f>152664+5644+72600-72600</f>
        <v>158308</v>
      </c>
      <c r="I17" s="118"/>
    </row>
    <row r="18" spans="1:9" ht="16.5" customHeight="1" x14ac:dyDescent="0.25">
      <c r="A18" s="82" t="s">
        <v>40</v>
      </c>
      <c r="B18" s="74" t="s">
        <v>8</v>
      </c>
      <c r="C18" s="58" t="s">
        <v>132</v>
      </c>
      <c r="D18" s="45">
        <f t="shared" si="0"/>
        <v>20700</v>
      </c>
      <c r="E18" s="45"/>
      <c r="F18" s="45">
        <f>SUM('Valst.f. 4'!F23)</f>
        <v>20700</v>
      </c>
      <c r="G18" s="45"/>
      <c r="H18" s="45"/>
      <c r="I18" s="118"/>
    </row>
    <row r="19" spans="1:9" ht="16.5" customHeight="1" x14ac:dyDescent="0.25">
      <c r="A19" s="98" t="s">
        <v>41</v>
      </c>
      <c r="B19" s="74" t="s">
        <v>8</v>
      </c>
      <c r="C19" s="58" t="s">
        <v>22</v>
      </c>
      <c r="D19" s="45">
        <f t="shared" si="0"/>
        <v>0</v>
      </c>
      <c r="E19" s="45">
        <f>SUM('sav.f. 3 '!F21)</f>
        <v>0</v>
      </c>
      <c r="F19" s="45"/>
      <c r="G19" s="45"/>
      <c r="H19" s="45"/>
      <c r="I19" s="118"/>
    </row>
    <row r="20" spans="1:9" ht="30.75" customHeight="1" x14ac:dyDescent="0.25">
      <c r="A20" s="98" t="s">
        <v>42</v>
      </c>
      <c r="B20" s="74" t="s">
        <v>318</v>
      </c>
      <c r="C20" s="73" t="s">
        <v>200</v>
      </c>
      <c r="D20" s="45">
        <f t="shared" si="0"/>
        <v>10167171</v>
      </c>
      <c r="E20" s="45">
        <f>SUM('sav.f. 3 '!F23)</f>
        <v>10167171</v>
      </c>
      <c r="F20" s="117"/>
      <c r="G20" s="117"/>
      <c r="H20" s="45"/>
      <c r="I20" s="118"/>
    </row>
    <row r="21" spans="1:9" ht="14.25" customHeight="1" x14ac:dyDescent="0.25">
      <c r="A21" s="292" t="s">
        <v>202</v>
      </c>
      <c r="B21" s="292"/>
      <c r="C21" s="292"/>
      <c r="D21" s="117">
        <f t="shared" si="0"/>
        <v>17925527</v>
      </c>
      <c r="E21" s="117">
        <f>SUM(E15:E20)</f>
        <v>16571990</v>
      </c>
      <c r="F21" s="117">
        <f>SUM(F15:F20)</f>
        <v>1195229</v>
      </c>
      <c r="G21" s="117">
        <f>SUM(G15:G20)</f>
        <v>0</v>
      </c>
      <c r="H21" s="117">
        <f>SUM(H15:H20)</f>
        <v>158308</v>
      </c>
      <c r="I21" s="117">
        <f>SUM(I15:I20)</f>
        <v>0</v>
      </c>
    </row>
    <row r="22" spans="1:9" ht="15.75" customHeight="1" x14ac:dyDescent="0.25">
      <c r="A22" s="293" t="s">
        <v>201</v>
      </c>
      <c r="B22" s="293"/>
      <c r="C22" s="293"/>
      <c r="D22" s="293"/>
      <c r="E22" s="293"/>
      <c r="F22" s="293"/>
      <c r="G22" s="293"/>
      <c r="H22" s="293"/>
      <c r="I22" s="293"/>
    </row>
    <row r="23" spans="1:9" ht="15" customHeight="1" x14ac:dyDescent="0.25">
      <c r="A23" s="82" t="s">
        <v>37</v>
      </c>
      <c r="B23" s="55" t="s">
        <v>83</v>
      </c>
      <c r="C23" s="57" t="s">
        <v>74</v>
      </c>
      <c r="D23" s="5">
        <f>SUM(E23:I23)</f>
        <v>11000</v>
      </c>
      <c r="E23" s="48">
        <f>SUM('sav.f. 3 '!F24)</f>
        <v>11000</v>
      </c>
      <c r="F23" s="50"/>
      <c r="G23" s="50"/>
      <c r="H23" s="50"/>
      <c r="I23" s="69"/>
    </row>
    <row r="24" spans="1:9" ht="15" customHeight="1" x14ac:dyDescent="0.25">
      <c r="A24" s="82" t="s">
        <v>38</v>
      </c>
      <c r="B24" s="55" t="s">
        <v>83</v>
      </c>
      <c r="C24" s="57" t="s">
        <v>321</v>
      </c>
      <c r="D24" s="5">
        <f>SUM(E24:I24)</f>
        <v>7900</v>
      </c>
      <c r="E24" s="48">
        <f>SUM('sav.f. 3 '!F25)</f>
        <v>7900</v>
      </c>
      <c r="F24" s="50"/>
      <c r="G24" s="50"/>
      <c r="H24" s="50"/>
      <c r="I24" s="69"/>
    </row>
    <row r="25" spans="1:9" ht="30" customHeight="1" x14ac:dyDescent="0.25">
      <c r="A25" s="82" t="s">
        <v>39</v>
      </c>
      <c r="B25" s="63" t="s">
        <v>83</v>
      </c>
      <c r="C25" s="64" t="s">
        <v>29</v>
      </c>
      <c r="D25" s="5">
        <f>SUM(E25:I25)</f>
        <v>7000</v>
      </c>
      <c r="E25" s="48">
        <f>SUM('sav.f. 3 '!F26)</f>
        <v>7000</v>
      </c>
      <c r="F25" s="50"/>
      <c r="G25" s="50"/>
      <c r="H25" s="50"/>
      <c r="I25" s="69"/>
    </row>
    <row r="26" spans="1:9" ht="15" customHeight="1" x14ac:dyDescent="0.25">
      <c r="A26" s="292" t="s">
        <v>202</v>
      </c>
      <c r="B26" s="292"/>
      <c r="C26" s="292"/>
      <c r="D26" s="99">
        <f t="shared" ref="D26:I26" si="1">SUM(D23:D25)</f>
        <v>25900</v>
      </c>
      <c r="E26" s="99">
        <f t="shared" si="1"/>
        <v>25900</v>
      </c>
      <c r="F26" s="99">
        <f t="shared" si="1"/>
        <v>0</v>
      </c>
      <c r="G26" s="50">
        <f t="shared" si="1"/>
        <v>0</v>
      </c>
      <c r="H26" s="50">
        <f t="shared" si="1"/>
        <v>0</v>
      </c>
      <c r="I26" s="50">
        <f t="shared" si="1"/>
        <v>0</v>
      </c>
    </row>
    <row r="27" spans="1:9" ht="15.75" customHeight="1" x14ac:dyDescent="0.25">
      <c r="A27" s="293" t="s">
        <v>205</v>
      </c>
      <c r="B27" s="293"/>
      <c r="C27" s="293"/>
      <c r="D27" s="293"/>
      <c r="E27" s="293"/>
      <c r="F27" s="293"/>
      <c r="G27" s="293"/>
      <c r="H27" s="293"/>
      <c r="I27" s="293"/>
    </row>
    <row r="28" spans="1:9" ht="32.25" customHeight="1" x14ac:dyDescent="0.25">
      <c r="A28" s="82" t="s">
        <v>37</v>
      </c>
      <c r="B28" s="5" t="s">
        <v>8</v>
      </c>
      <c r="C28" s="66" t="s">
        <v>120</v>
      </c>
      <c r="D28" s="34">
        <f>SUM(E28:I28)</f>
        <v>15000</v>
      </c>
      <c r="E28" s="87">
        <f>SUM('sav.f. 3 '!F28)</f>
        <v>15000</v>
      </c>
      <c r="F28" s="50"/>
      <c r="G28" s="100"/>
      <c r="H28" s="100"/>
      <c r="I28" s="69"/>
    </row>
    <row r="29" spans="1:9" ht="15" customHeight="1" x14ac:dyDescent="0.25">
      <c r="A29" s="82" t="s">
        <v>38</v>
      </c>
      <c r="B29" s="5" t="s">
        <v>8</v>
      </c>
      <c r="C29" s="66" t="s">
        <v>204</v>
      </c>
      <c r="D29" s="48">
        <f>SUM(E29:I29)</f>
        <v>107440</v>
      </c>
      <c r="E29" s="87">
        <f>SUM('sav.f. 3 '!F29)</f>
        <v>107440</v>
      </c>
      <c r="F29" s="50"/>
      <c r="G29" s="50"/>
      <c r="H29" s="50"/>
      <c r="I29" s="69"/>
    </row>
    <row r="30" spans="1:9" ht="16.5" customHeight="1" x14ac:dyDescent="0.25">
      <c r="A30" s="292" t="s">
        <v>202</v>
      </c>
      <c r="B30" s="292"/>
      <c r="C30" s="292"/>
      <c r="D30" s="50">
        <f>SUM(E30:I30)</f>
        <v>122440</v>
      </c>
      <c r="E30" s="50">
        <f>SUM(E28:E29)</f>
        <v>122440</v>
      </c>
      <c r="F30" s="50">
        <f>SUM(F26:F29)</f>
        <v>0</v>
      </c>
      <c r="G30" s="50">
        <f>SUM(G26:G29)</f>
        <v>0</v>
      </c>
      <c r="H30" s="50">
        <f>SUM(H26:H29)</f>
        <v>0</v>
      </c>
      <c r="I30" s="50">
        <f>SUM(I26:I29)</f>
        <v>0</v>
      </c>
    </row>
    <row r="31" spans="1:9" ht="17.25" customHeight="1" x14ac:dyDescent="0.25">
      <c r="A31" s="293" t="s">
        <v>206</v>
      </c>
      <c r="B31" s="293"/>
      <c r="C31" s="293"/>
      <c r="D31" s="293"/>
      <c r="E31" s="293"/>
      <c r="F31" s="293"/>
      <c r="G31" s="293"/>
      <c r="H31" s="293"/>
      <c r="I31" s="293"/>
    </row>
    <row r="32" spans="1:9" ht="16.5" customHeight="1" x14ac:dyDescent="0.25">
      <c r="A32" s="82" t="s">
        <v>37</v>
      </c>
      <c r="B32" s="5" t="s">
        <v>8</v>
      </c>
      <c r="C32" s="5" t="s">
        <v>71</v>
      </c>
      <c r="D32" s="116">
        <f>SUM(E32:I32)</f>
        <v>179900</v>
      </c>
      <c r="E32" s="116">
        <f>SUM('sav.f. 3 '!F33)</f>
        <v>179900</v>
      </c>
      <c r="F32" s="45"/>
      <c r="G32" s="45"/>
      <c r="H32" s="45"/>
      <c r="I32" s="118"/>
    </row>
    <row r="33" spans="1:10" ht="16.5" customHeight="1" x14ac:dyDescent="0.25">
      <c r="A33" s="82" t="s">
        <v>38</v>
      </c>
      <c r="B33" s="5" t="s">
        <v>8</v>
      </c>
      <c r="C33" s="5" t="s">
        <v>340</v>
      </c>
      <c r="D33" s="115">
        <f>SUM(E33:I33)</f>
        <v>23400</v>
      </c>
      <c r="E33" s="115">
        <f>'sav.f. 3 '!G34</f>
        <v>23400</v>
      </c>
      <c r="F33" s="45"/>
      <c r="G33" s="45"/>
      <c r="H33" s="45"/>
      <c r="I33" s="118"/>
    </row>
    <row r="34" spans="1:10" ht="15.75" customHeight="1" x14ac:dyDescent="0.25">
      <c r="A34" s="82" t="s">
        <v>39</v>
      </c>
      <c r="B34" s="5" t="s">
        <v>8</v>
      </c>
      <c r="C34" s="5" t="s">
        <v>23</v>
      </c>
      <c r="D34" s="45">
        <f>SUM(E34:I34)</f>
        <v>316000</v>
      </c>
      <c r="E34" s="45">
        <f>SUM('sav.f. 3 '!G35)</f>
        <v>316000</v>
      </c>
      <c r="F34" s="45"/>
      <c r="G34" s="129"/>
      <c r="H34" s="129"/>
      <c r="I34" s="118"/>
    </row>
    <row r="35" spans="1:10" ht="15.75" customHeight="1" x14ac:dyDescent="0.25">
      <c r="A35" s="292" t="s">
        <v>202</v>
      </c>
      <c r="B35" s="292"/>
      <c r="C35" s="292"/>
      <c r="D35" s="124">
        <f>SUM(E35:I35)</f>
        <v>519300</v>
      </c>
      <c r="E35" s="124">
        <f>SUM(E32:E34)</f>
        <v>519300</v>
      </c>
      <c r="F35" s="124">
        <f>SUM(F32:F34)</f>
        <v>0</v>
      </c>
      <c r="G35" s="124">
        <f>SUM(G32:G34)</f>
        <v>0</v>
      </c>
      <c r="H35" s="124">
        <f>SUM(H32:H34)</f>
        <v>0</v>
      </c>
      <c r="I35" s="124">
        <f>SUM(I32:I34)</f>
        <v>0</v>
      </c>
    </row>
    <row r="36" spans="1:10" ht="16.5" customHeight="1" x14ac:dyDescent="0.25">
      <c r="A36" s="293" t="s">
        <v>207</v>
      </c>
      <c r="B36" s="293"/>
      <c r="C36" s="293"/>
      <c r="D36" s="293"/>
      <c r="E36" s="293"/>
      <c r="F36" s="293"/>
      <c r="G36" s="293"/>
      <c r="H36" s="293"/>
      <c r="I36" s="293"/>
    </row>
    <row r="37" spans="1:10" ht="17.25" customHeight="1" x14ac:dyDescent="0.25">
      <c r="A37" s="82" t="s">
        <v>37</v>
      </c>
      <c r="B37" s="5" t="s">
        <v>8</v>
      </c>
      <c r="C37" s="5" t="s">
        <v>70</v>
      </c>
      <c r="D37" s="5">
        <f>SUM(E37:I37)</f>
        <v>40000</v>
      </c>
      <c r="E37" s="5">
        <f>SUM('sav.f. 3 '!F36)</f>
        <v>40000</v>
      </c>
      <c r="F37" s="5"/>
      <c r="G37" s="5"/>
      <c r="H37" s="5"/>
      <c r="I37" s="69"/>
    </row>
    <row r="38" spans="1:10" ht="15" customHeight="1" x14ac:dyDescent="0.25">
      <c r="A38" s="292" t="s">
        <v>202</v>
      </c>
      <c r="B38" s="292"/>
      <c r="C38" s="292"/>
      <c r="D38" s="91">
        <f>SUM(E38:I38)</f>
        <v>40000</v>
      </c>
      <c r="E38" s="91">
        <f>SUM(E37)</f>
        <v>40000</v>
      </c>
      <c r="F38" s="91">
        <f>SUM(F37)</f>
        <v>0</v>
      </c>
      <c r="G38" s="91">
        <f>SUM(G37)</f>
        <v>0</v>
      </c>
      <c r="H38" s="91">
        <f>SUM(H37)</f>
        <v>0</v>
      </c>
      <c r="I38" s="91">
        <f>SUM(I37)</f>
        <v>0</v>
      </c>
    </row>
    <row r="39" spans="1:10" ht="15" customHeight="1" x14ac:dyDescent="0.25">
      <c r="A39" s="293" t="s">
        <v>209</v>
      </c>
      <c r="B39" s="293"/>
      <c r="C39" s="293"/>
      <c r="D39" s="293"/>
      <c r="E39" s="293"/>
      <c r="F39" s="293"/>
      <c r="G39" s="293"/>
      <c r="H39" s="293"/>
      <c r="I39" s="293"/>
    </row>
    <row r="40" spans="1:10" ht="15" customHeight="1" x14ac:dyDescent="0.25">
      <c r="A40" s="103" t="s">
        <v>37</v>
      </c>
      <c r="B40" s="104" t="s">
        <v>8</v>
      </c>
      <c r="C40" s="105" t="s">
        <v>210</v>
      </c>
      <c r="D40" s="9">
        <f>SUM(E40:I40)</f>
        <v>394700</v>
      </c>
      <c r="E40" s="34"/>
      <c r="F40" s="34">
        <f>SUM('Valst.f. 4'!F29)</f>
        <v>394700</v>
      </c>
      <c r="G40" s="9"/>
      <c r="H40" s="9"/>
      <c r="I40" s="97"/>
    </row>
    <row r="41" spans="1:10" ht="16.5" customHeight="1" x14ac:dyDescent="0.25">
      <c r="A41" s="292" t="s">
        <v>202</v>
      </c>
      <c r="B41" s="292"/>
      <c r="C41" s="292"/>
      <c r="D41" s="106">
        <f>SUM(E41:I41)</f>
        <v>394700</v>
      </c>
      <c r="E41" s="106">
        <f>SUM(E40)</f>
        <v>0</v>
      </c>
      <c r="F41" s="106">
        <f>SUM(F40)</f>
        <v>394700</v>
      </c>
      <c r="G41" s="106">
        <f>SUM(G40)</f>
        <v>0</v>
      </c>
      <c r="H41" s="106">
        <f>SUM(H40)</f>
        <v>0</v>
      </c>
      <c r="I41" s="91">
        <f>SUM(I40)</f>
        <v>0</v>
      </c>
    </row>
    <row r="42" spans="1:10" ht="15.75" customHeight="1" x14ac:dyDescent="0.25">
      <c r="A42" s="293" t="s">
        <v>211</v>
      </c>
      <c r="B42" s="293"/>
      <c r="C42" s="293"/>
      <c r="D42" s="293"/>
      <c r="E42" s="293"/>
      <c r="F42" s="293"/>
      <c r="G42" s="293"/>
      <c r="H42" s="293"/>
      <c r="I42" s="293"/>
    </row>
    <row r="43" spans="1:10" ht="15" customHeight="1" x14ac:dyDescent="0.25">
      <c r="A43" s="82" t="s">
        <v>37</v>
      </c>
      <c r="B43" s="5" t="s">
        <v>8</v>
      </c>
      <c r="C43" s="76" t="s">
        <v>314</v>
      </c>
      <c r="D43" s="34">
        <f>SUM(E43:I43)</f>
        <v>386063</v>
      </c>
      <c r="E43" s="34">
        <v>39463</v>
      </c>
      <c r="F43" s="34">
        <f>SUM('Valst.f. 4'!F28)</f>
        <v>310000</v>
      </c>
      <c r="G43" s="9"/>
      <c r="H43" s="9">
        <v>36600</v>
      </c>
      <c r="I43" s="69"/>
    </row>
    <row r="44" spans="1:10" ht="15.75" customHeight="1" x14ac:dyDescent="0.25">
      <c r="A44" s="291" t="s">
        <v>202</v>
      </c>
      <c r="B44" s="291"/>
      <c r="C44" s="291"/>
      <c r="D44" s="101">
        <f>SUM(E44:I44)</f>
        <v>386063</v>
      </c>
      <c r="E44" s="101">
        <f>SUM(E43:E43)</f>
        <v>39463</v>
      </c>
      <c r="F44" s="101">
        <f>SUM(F43:F43)</f>
        <v>310000</v>
      </c>
      <c r="G44" s="101">
        <f>SUM(G43:G43)</f>
        <v>0</v>
      </c>
      <c r="H44" s="101">
        <f>SUM(H43:H43)</f>
        <v>36600</v>
      </c>
      <c r="I44" s="102">
        <f>SUM(I43:I43)</f>
        <v>0</v>
      </c>
    </row>
    <row r="45" spans="1:10" s="107" customFormat="1" ht="18" customHeight="1" x14ac:dyDescent="0.25">
      <c r="A45" s="296" t="s">
        <v>213</v>
      </c>
      <c r="B45" s="296"/>
      <c r="C45" s="296"/>
      <c r="D45" s="296"/>
      <c r="E45" s="296"/>
      <c r="F45" s="296"/>
      <c r="G45" s="296"/>
      <c r="H45" s="296"/>
      <c r="I45" s="296"/>
      <c r="J45" s="53"/>
    </row>
    <row r="46" spans="1:10" s="107" customFormat="1" ht="15.75" customHeight="1" x14ac:dyDescent="0.25">
      <c r="A46" s="108" t="s">
        <v>37</v>
      </c>
      <c r="B46" s="55" t="s">
        <v>8</v>
      </c>
      <c r="C46" s="55" t="s">
        <v>156</v>
      </c>
      <c r="D46" s="49">
        <f>SUM(E46:I46)</f>
        <v>1447095</v>
      </c>
      <c r="E46" s="49">
        <f>17400+88000</f>
        <v>105400</v>
      </c>
      <c r="F46" s="49">
        <f>SUM('Valst.f. 4'!F26)</f>
        <v>1332831</v>
      </c>
      <c r="G46" s="49"/>
      <c r="H46" s="49">
        <v>8864</v>
      </c>
      <c r="I46" s="108"/>
      <c r="J46" s="53"/>
    </row>
    <row r="47" spans="1:10" s="107" customFormat="1" ht="15.75" customHeight="1" x14ac:dyDescent="0.25">
      <c r="A47" s="108" t="s">
        <v>38</v>
      </c>
      <c r="B47" s="55" t="s">
        <v>8</v>
      </c>
      <c r="C47" s="68" t="s">
        <v>113</v>
      </c>
      <c r="D47" s="49">
        <f t="shared" ref="D47:D65" si="2">SUM(E47:I47)</f>
        <v>2048103</v>
      </c>
      <c r="E47" s="49">
        <v>2042700</v>
      </c>
      <c r="F47" s="49"/>
      <c r="G47" s="49"/>
      <c r="H47" s="49">
        <v>5403</v>
      </c>
      <c r="I47" s="108"/>
      <c r="J47" s="53"/>
    </row>
    <row r="48" spans="1:10" ht="15.75" customHeight="1" x14ac:dyDescent="0.25">
      <c r="A48" s="82" t="s">
        <v>39</v>
      </c>
      <c r="B48" s="55" t="s">
        <v>8</v>
      </c>
      <c r="C48" s="68" t="s">
        <v>5</v>
      </c>
      <c r="D48" s="49">
        <f t="shared" si="2"/>
        <v>122900</v>
      </c>
      <c r="E48" s="87">
        <v>99900</v>
      </c>
      <c r="F48" s="87"/>
      <c r="G48" s="5"/>
      <c r="H48" s="5">
        <v>23000</v>
      </c>
      <c r="I48" s="69"/>
    </row>
    <row r="49" spans="1:9" ht="15.75" customHeight="1" x14ac:dyDescent="0.25">
      <c r="A49" s="82" t="s">
        <v>40</v>
      </c>
      <c r="B49" s="55" t="s">
        <v>234</v>
      </c>
      <c r="C49" s="68" t="s">
        <v>315</v>
      </c>
      <c r="D49" s="49">
        <f t="shared" si="2"/>
        <v>11520</v>
      </c>
      <c r="E49" s="87">
        <f>SUM('sav.f. 3 '!F40,'sav.f. 3 '!F58)</f>
        <v>11520</v>
      </c>
      <c r="F49" s="87"/>
      <c r="G49" s="5"/>
      <c r="H49" s="5"/>
      <c r="I49" s="69"/>
    </row>
    <row r="50" spans="1:9" ht="15.75" customHeight="1" x14ac:dyDescent="0.25">
      <c r="A50" s="82" t="s">
        <v>41</v>
      </c>
      <c r="B50" s="55" t="s">
        <v>235</v>
      </c>
      <c r="C50" s="68" t="s">
        <v>315</v>
      </c>
      <c r="D50" s="49">
        <f t="shared" si="2"/>
        <v>24540</v>
      </c>
      <c r="E50" s="87">
        <f>SUM('sav.f. 3 '!F41,'sav.f. 3 '!F59)</f>
        <v>24540</v>
      </c>
      <c r="F50" s="87"/>
      <c r="G50" s="5"/>
      <c r="H50" s="5"/>
      <c r="I50" s="69"/>
    </row>
    <row r="51" spans="1:9" ht="15.75" customHeight="1" x14ac:dyDescent="0.25">
      <c r="A51" s="82" t="s">
        <v>42</v>
      </c>
      <c r="B51" s="55" t="s">
        <v>236</v>
      </c>
      <c r="C51" s="68" t="s">
        <v>315</v>
      </c>
      <c r="D51" s="49">
        <f t="shared" si="2"/>
        <v>25870</v>
      </c>
      <c r="E51" s="87">
        <f>SUM('sav.f. 3 '!F42,'sav.f. 3 '!F60)</f>
        <v>25870</v>
      </c>
      <c r="F51" s="87"/>
      <c r="G51" s="5"/>
      <c r="H51" s="5"/>
      <c r="I51" s="69"/>
    </row>
    <row r="52" spans="1:9" ht="15.75" customHeight="1" x14ac:dyDescent="0.25">
      <c r="A52" s="82" t="s">
        <v>43</v>
      </c>
      <c r="B52" s="55" t="s">
        <v>237</v>
      </c>
      <c r="C52" s="68" t="s">
        <v>315</v>
      </c>
      <c r="D52" s="49">
        <f t="shared" si="2"/>
        <v>18610</v>
      </c>
      <c r="E52" s="87">
        <f>SUM('sav.f. 3 '!F43,'sav.f. 3 '!F61)</f>
        <v>18610</v>
      </c>
      <c r="F52" s="87"/>
      <c r="G52" s="5"/>
      <c r="H52" s="5"/>
      <c r="I52" s="69"/>
    </row>
    <row r="53" spans="1:9" ht="15.75" customHeight="1" x14ac:dyDescent="0.25">
      <c r="A53" s="82" t="s">
        <v>44</v>
      </c>
      <c r="B53" s="55" t="s">
        <v>249</v>
      </c>
      <c r="C53" s="68" t="s">
        <v>315</v>
      </c>
      <c r="D53" s="49">
        <f t="shared" si="2"/>
        <v>404780</v>
      </c>
      <c r="E53" s="87">
        <f>SUM('sav.f. 3 '!F44,'sav.f. 3 '!F62)</f>
        <v>404780</v>
      </c>
      <c r="F53" s="87"/>
      <c r="G53" s="5"/>
      <c r="H53" s="5"/>
      <c r="I53" s="69"/>
    </row>
    <row r="54" spans="1:9" ht="15.75" customHeight="1" x14ac:dyDescent="0.25">
      <c r="A54" s="82" t="s">
        <v>45</v>
      </c>
      <c r="B54" s="55" t="s">
        <v>238</v>
      </c>
      <c r="C54" s="68" t="s">
        <v>315</v>
      </c>
      <c r="D54" s="49">
        <f t="shared" si="2"/>
        <v>51160</v>
      </c>
      <c r="E54" s="87">
        <v>46160</v>
      </c>
      <c r="F54" s="87"/>
      <c r="G54" s="5"/>
      <c r="H54" s="5">
        <v>5000</v>
      </c>
      <c r="I54" s="69"/>
    </row>
    <row r="55" spans="1:9" ht="15.75" customHeight="1" x14ac:dyDescent="0.25">
      <c r="A55" s="82" t="s">
        <v>46</v>
      </c>
      <c r="B55" s="55" t="s">
        <v>239</v>
      </c>
      <c r="C55" s="68" t="s">
        <v>315</v>
      </c>
      <c r="D55" s="49">
        <f t="shared" si="2"/>
        <v>16300</v>
      </c>
      <c r="E55" s="87">
        <f>SUM('sav.f. 3 '!F46,'sav.f. 3 '!F64)</f>
        <v>16300</v>
      </c>
      <c r="F55" s="87"/>
      <c r="G55" s="5"/>
      <c r="H55" s="5"/>
      <c r="I55" s="69"/>
    </row>
    <row r="56" spans="1:9" ht="15.75" customHeight="1" x14ac:dyDescent="0.25">
      <c r="A56" s="82" t="s">
        <v>47</v>
      </c>
      <c r="B56" s="55" t="s">
        <v>240</v>
      </c>
      <c r="C56" s="68" t="s">
        <v>315</v>
      </c>
      <c r="D56" s="49">
        <f t="shared" si="2"/>
        <v>56400</v>
      </c>
      <c r="E56" s="87">
        <f>SUM('sav.f. 3 '!F47,'sav.f. 3 '!F65)</f>
        <v>56400</v>
      </c>
      <c r="F56" s="87"/>
      <c r="G56" s="5"/>
      <c r="H56" s="5"/>
      <c r="I56" s="69"/>
    </row>
    <row r="57" spans="1:9" ht="15.75" customHeight="1" x14ac:dyDescent="0.25">
      <c r="A57" s="82" t="s">
        <v>48</v>
      </c>
      <c r="B57" s="55" t="s">
        <v>241</v>
      </c>
      <c r="C57" s="68" t="s">
        <v>315</v>
      </c>
      <c r="D57" s="49">
        <f t="shared" si="2"/>
        <v>13600</v>
      </c>
      <c r="E57" s="87">
        <f>13600-1900</f>
        <v>11700</v>
      </c>
      <c r="F57" s="87"/>
      <c r="G57" s="5"/>
      <c r="H57" s="5">
        <v>1900</v>
      </c>
      <c r="I57" s="69"/>
    </row>
    <row r="58" spans="1:9" ht="15.75" customHeight="1" x14ac:dyDescent="0.25">
      <c r="A58" s="82" t="s">
        <v>49</v>
      </c>
      <c r="B58" s="55" t="s">
        <v>242</v>
      </c>
      <c r="C58" s="68" t="s">
        <v>315</v>
      </c>
      <c r="D58" s="49">
        <f t="shared" si="2"/>
        <v>42400</v>
      </c>
      <c r="E58" s="87">
        <v>33400</v>
      </c>
      <c r="F58" s="87"/>
      <c r="G58" s="5"/>
      <c r="H58" s="5">
        <v>9000</v>
      </c>
      <c r="I58" s="69"/>
    </row>
    <row r="59" spans="1:9" ht="15.75" customHeight="1" x14ac:dyDescent="0.25">
      <c r="A59" s="82" t="s">
        <v>50</v>
      </c>
      <c r="B59" s="55" t="s">
        <v>243</v>
      </c>
      <c r="C59" s="68" t="s">
        <v>315</v>
      </c>
      <c r="D59" s="49">
        <f t="shared" si="2"/>
        <v>18100</v>
      </c>
      <c r="E59" s="87">
        <f>SUM('sav.f. 3 '!F50,'sav.f. 3 '!F68)</f>
        <v>18100</v>
      </c>
      <c r="F59" s="87"/>
      <c r="G59" s="5"/>
      <c r="H59" s="5"/>
      <c r="I59" s="69"/>
    </row>
    <row r="60" spans="1:9" ht="15.75" customHeight="1" x14ac:dyDescent="0.25">
      <c r="A60" s="82" t="s">
        <v>51</v>
      </c>
      <c r="B60" s="55" t="s">
        <v>244</v>
      </c>
      <c r="C60" s="68" t="s">
        <v>315</v>
      </c>
      <c r="D60" s="49">
        <f t="shared" si="2"/>
        <v>14800</v>
      </c>
      <c r="E60" s="87">
        <f>SUM('sav.f. 3 '!F51,'sav.f. 3 '!F69)</f>
        <v>14800</v>
      </c>
      <c r="F60" s="87"/>
      <c r="G60" s="5"/>
      <c r="H60" s="5"/>
      <c r="I60" s="69"/>
    </row>
    <row r="61" spans="1:9" ht="15.75" customHeight="1" x14ac:dyDescent="0.25">
      <c r="A61" s="82" t="s">
        <v>52</v>
      </c>
      <c r="B61" s="55" t="s">
        <v>245</v>
      </c>
      <c r="C61" s="68" t="s">
        <v>315</v>
      </c>
      <c r="D61" s="49">
        <f t="shared" si="2"/>
        <v>167870</v>
      </c>
      <c r="E61" s="87">
        <f>SUM('sav.f. 3 '!F52,'sav.f. 3 '!F70)</f>
        <v>167870</v>
      </c>
      <c r="F61" s="87"/>
      <c r="G61" s="5"/>
      <c r="H61" s="5"/>
      <c r="I61" s="69"/>
    </row>
    <row r="62" spans="1:9" ht="15.75" customHeight="1" x14ac:dyDescent="0.25">
      <c r="A62" s="82" t="s">
        <v>53</v>
      </c>
      <c r="B62" s="55" t="s">
        <v>246</v>
      </c>
      <c r="C62" s="68" t="s">
        <v>315</v>
      </c>
      <c r="D62" s="49">
        <f t="shared" si="2"/>
        <v>99372</v>
      </c>
      <c r="E62" s="87">
        <f>SUM('sav.f. 3 '!F53,'sav.f. 3 '!F71)</f>
        <v>99372</v>
      </c>
      <c r="F62" s="87"/>
      <c r="G62" s="5"/>
      <c r="H62" s="5"/>
      <c r="I62" s="69"/>
    </row>
    <row r="63" spans="1:9" ht="15.75" customHeight="1" x14ac:dyDescent="0.25">
      <c r="A63" s="82" t="s">
        <v>54</v>
      </c>
      <c r="B63" s="55" t="s">
        <v>8</v>
      </c>
      <c r="C63" s="68" t="s">
        <v>159</v>
      </c>
      <c r="D63" s="49">
        <f t="shared" si="2"/>
        <v>10000</v>
      </c>
      <c r="E63" s="5">
        <f>SUM('sav.f. 3 '!F56)</f>
        <v>10000</v>
      </c>
      <c r="F63" s="5"/>
      <c r="G63" s="5"/>
      <c r="H63" s="5"/>
      <c r="I63" s="69"/>
    </row>
    <row r="64" spans="1:9" ht="15.75" customHeight="1" x14ac:dyDescent="0.25">
      <c r="A64" s="82" t="s">
        <v>55</v>
      </c>
      <c r="B64" s="55" t="s">
        <v>8</v>
      </c>
      <c r="C64" s="122" t="s">
        <v>16</v>
      </c>
      <c r="D64" s="49">
        <f t="shared" si="2"/>
        <v>157950</v>
      </c>
      <c r="E64" s="5">
        <f>SUM('sav.f. 3 '!F55)</f>
        <v>157950</v>
      </c>
      <c r="F64" s="5"/>
      <c r="G64" s="5"/>
      <c r="H64" s="5"/>
      <c r="I64" s="69"/>
    </row>
    <row r="65" spans="1:9" ht="15.75" customHeight="1" x14ac:dyDescent="0.25">
      <c r="A65" s="82" t="s">
        <v>56</v>
      </c>
      <c r="B65" s="55" t="s">
        <v>8</v>
      </c>
      <c r="C65" s="68" t="s">
        <v>157</v>
      </c>
      <c r="D65" s="49">
        <f t="shared" si="2"/>
        <v>102235</v>
      </c>
      <c r="E65" s="5">
        <v>86000</v>
      </c>
      <c r="F65" s="5"/>
      <c r="G65" s="5"/>
      <c r="H65" s="5">
        <f>8915+7320</f>
        <v>16235</v>
      </c>
      <c r="I65" s="69"/>
    </row>
    <row r="66" spans="1:9" ht="17.25" customHeight="1" x14ac:dyDescent="0.25">
      <c r="A66" s="292" t="s">
        <v>202</v>
      </c>
      <c r="B66" s="292"/>
      <c r="C66" s="292"/>
      <c r="D66" s="91">
        <f>SUM(E66:I66)</f>
        <v>4853605</v>
      </c>
      <c r="E66" s="91">
        <f>SUM(E46:E65)</f>
        <v>3451372</v>
      </c>
      <c r="F66" s="91">
        <f>SUM(F46:F65)</f>
        <v>1332831</v>
      </c>
      <c r="G66" s="91">
        <f>SUM(G46:G65)</f>
        <v>0</v>
      </c>
      <c r="H66" s="91">
        <f>SUM(H46:H65)</f>
        <v>69402</v>
      </c>
      <c r="I66" s="91">
        <f>SUM(I46:I65)</f>
        <v>0</v>
      </c>
    </row>
    <row r="67" spans="1:9" ht="15.75" customHeight="1" x14ac:dyDescent="0.25">
      <c r="A67" s="293" t="s">
        <v>214</v>
      </c>
      <c r="B67" s="293"/>
      <c r="C67" s="293"/>
      <c r="D67" s="293"/>
      <c r="E67" s="293"/>
      <c r="F67" s="293"/>
      <c r="G67" s="293"/>
      <c r="H67" s="293"/>
      <c r="I67" s="293"/>
    </row>
    <row r="68" spans="1:9" ht="18.75" customHeight="1" x14ac:dyDescent="0.25">
      <c r="A68" s="82" t="s">
        <v>37</v>
      </c>
      <c r="B68" s="5" t="s">
        <v>8</v>
      </c>
      <c r="C68" s="109" t="s">
        <v>116</v>
      </c>
      <c r="D68" s="34">
        <f>SUM(E68:I68)</f>
        <v>345590</v>
      </c>
      <c r="E68" s="69">
        <f>SUM(AARP.6!I41)</f>
        <v>345590</v>
      </c>
      <c r="F68" s="9"/>
      <c r="G68" s="9"/>
      <c r="H68" s="9"/>
      <c r="I68" s="69"/>
    </row>
    <row r="69" spans="1:9" ht="17.25" customHeight="1" x14ac:dyDescent="0.25">
      <c r="A69" s="299" t="s">
        <v>202</v>
      </c>
      <c r="B69" s="299"/>
      <c r="C69" s="299"/>
      <c r="D69" s="123">
        <f>SUM(E69:I69)</f>
        <v>345590</v>
      </c>
      <c r="E69" s="124">
        <f>SUM(E68:E68)</f>
        <v>345590</v>
      </c>
      <c r="F69" s="124">
        <f>SUM(F68:F68)</f>
        <v>0</v>
      </c>
      <c r="G69" s="124">
        <f>SUM(G68:G68)</f>
        <v>0</v>
      </c>
      <c r="H69" s="124">
        <f>SUM(H68:H68)</f>
        <v>0</v>
      </c>
      <c r="I69" s="124">
        <f>SUM(I68:I68)</f>
        <v>0</v>
      </c>
    </row>
    <row r="70" spans="1:9" ht="15" customHeight="1" x14ac:dyDescent="0.25">
      <c r="A70" s="295" t="s">
        <v>215</v>
      </c>
      <c r="B70" s="295"/>
      <c r="C70" s="295"/>
      <c r="D70" s="295"/>
      <c r="E70" s="295"/>
      <c r="F70" s="295"/>
      <c r="G70" s="295"/>
      <c r="H70" s="295"/>
      <c r="I70" s="295"/>
    </row>
    <row r="71" spans="1:9" ht="15" customHeight="1" x14ac:dyDescent="0.25">
      <c r="A71" s="121" t="s">
        <v>37</v>
      </c>
      <c r="B71" s="45" t="s">
        <v>8</v>
      </c>
      <c r="C71" s="45" t="s">
        <v>17</v>
      </c>
      <c r="D71" s="116">
        <f>SUM(E71:I71)</f>
        <v>5820095</v>
      </c>
      <c r="E71" s="119">
        <f>5333610+51734-12000+32</f>
        <v>5373376</v>
      </c>
      <c r="F71" s="119"/>
      <c r="G71" s="119"/>
      <c r="H71" s="119">
        <f>100000+346719</f>
        <v>446719</v>
      </c>
      <c r="I71" s="118"/>
    </row>
    <row r="72" spans="1:9" ht="15" customHeight="1" x14ac:dyDescent="0.25">
      <c r="A72" s="299" t="s">
        <v>202</v>
      </c>
      <c r="B72" s="299"/>
      <c r="C72" s="299"/>
      <c r="D72" s="117">
        <f>SUM(D71)</f>
        <v>5820095</v>
      </c>
      <c r="E72" s="117">
        <f>SUM(E71)</f>
        <v>5373376</v>
      </c>
      <c r="F72" s="117">
        <f ca="1">SUM(F71:F132)</f>
        <v>0</v>
      </c>
      <c r="G72" s="117">
        <f ca="1">SUM(G71:G132)</f>
        <v>0</v>
      </c>
      <c r="H72" s="117">
        <f>SUM(H71)</f>
        <v>446719</v>
      </c>
      <c r="I72" s="117">
        <f ca="1">SUM(I71:I132)</f>
        <v>0</v>
      </c>
    </row>
    <row r="73" spans="1:9" ht="16.5" customHeight="1" x14ac:dyDescent="0.25">
      <c r="A73" s="295" t="s">
        <v>216</v>
      </c>
      <c r="B73" s="295"/>
      <c r="C73" s="295"/>
      <c r="D73" s="295"/>
      <c r="E73" s="295"/>
      <c r="F73" s="295"/>
      <c r="G73" s="295"/>
      <c r="H73" s="295"/>
      <c r="I73" s="295"/>
    </row>
    <row r="74" spans="1:9" ht="18.75" customHeight="1" x14ac:dyDescent="0.25">
      <c r="A74" s="121" t="s">
        <v>37</v>
      </c>
      <c r="B74" s="45" t="s">
        <v>8</v>
      </c>
      <c r="C74" s="125" t="s">
        <v>27</v>
      </c>
      <c r="D74" s="116">
        <f>SUM(E74:I74)</f>
        <v>23000</v>
      </c>
      <c r="E74" s="119">
        <f>SUM('sav.f. 3 '!F54)</f>
        <v>23000</v>
      </c>
      <c r="F74" s="119"/>
      <c r="G74" s="119"/>
      <c r="H74" s="119"/>
      <c r="I74" s="118"/>
    </row>
    <row r="75" spans="1:9" ht="18.75" customHeight="1" x14ac:dyDescent="0.25">
      <c r="A75" s="170" t="s">
        <v>38</v>
      </c>
      <c r="B75" s="45" t="s">
        <v>8</v>
      </c>
      <c r="C75" s="68" t="s">
        <v>324</v>
      </c>
      <c r="D75" s="116">
        <f>SUM(E75:I75)</f>
        <v>4320</v>
      </c>
      <c r="E75" s="171">
        <f>SUM('sav.f. 3 '!F124)</f>
        <v>4320</v>
      </c>
      <c r="F75" s="171"/>
      <c r="G75" s="171"/>
      <c r="H75" s="171"/>
      <c r="I75" s="172"/>
    </row>
    <row r="76" spans="1:9" ht="16.5" customHeight="1" x14ac:dyDescent="0.25">
      <c r="A76" s="294" t="s">
        <v>202</v>
      </c>
      <c r="B76" s="294"/>
      <c r="C76" s="294"/>
      <c r="D76" s="126">
        <f>SUM(D74:D75)</f>
        <v>27320</v>
      </c>
      <c r="E76" s="126">
        <f>SUM(E74:E75)</f>
        <v>27320</v>
      </c>
      <c r="F76" s="126">
        <f t="shared" ref="F76:I76" si="3">SUM(F74:F74)</f>
        <v>0</v>
      </c>
      <c r="G76" s="126">
        <f t="shared" si="3"/>
        <v>0</v>
      </c>
      <c r="H76" s="126">
        <f t="shared" si="3"/>
        <v>0</v>
      </c>
      <c r="I76" s="127">
        <f t="shared" si="3"/>
        <v>0</v>
      </c>
    </row>
    <row r="77" spans="1:9" ht="21" customHeight="1" x14ac:dyDescent="0.25">
      <c r="A77" s="293" t="s">
        <v>217</v>
      </c>
      <c r="B77" s="293"/>
      <c r="C77" s="293"/>
      <c r="D77" s="293"/>
      <c r="E77" s="293"/>
      <c r="F77" s="293"/>
      <c r="G77" s="293"/>
      <c r="H77" s="293"/>
      <c r="I77" s="293"/>
    </row>
    <row r="78" spans="1:9" ht="18.75" customHeight="1" x14ac:dyDescent="0.25">
      <c r="A78" s="82" t="s">
        <v>37</v>
      </c>
      <c r="B78" s="5" t="s">
        <v>8</v>
      </c>
      <c r="C78" s="5" t="s">
        <v>72</v>
      </c>
      <c r="D78" s="45">
        <f t="shared" ref="D78:D82" si="4">SUM(E78:I78)</f>
        <v>443000</v>
      </c>
      <c r="E78" s="45">
        <f>SUM('sav.f. 3 '!F73)</f>
        <v>49000</v>
      </c>
      <c r="F78" s="5">
        <f>SUM('Valst.f. 4'!F61)</f>
        <v>394000</v>
      </c>
      <c r="G78" s="5"/>
      <c r="H78" s="5"/>
      <c r="I78" s="69"/>
    </row>
    <row r="79" spans="1:9" ht="18.75" customHeight="1" x14ac:dyDescent="0.25">
      <c r="A79" s="82" t="s">
        <v>38</v>
      </c>
      <c r="B79" s="5" t="s">
        <v>8</v>
      </c>
      <c r="C79" s="5" t="s">
        <v>30</v>
      </c>
      <c r="D79" s="5">
        <f t="shared" si="4"/>
        <v>14000</v>
      </c>
      <c r="E79" s="5">
        <f>SUM('sav.f. 3 '!F74)</f>
        <v>14000</v>
      </c>
      <c r="F79" s="5"/>
      <c r="G79" s="5"/>
      <c r="H79" s="5"/>
      <c r="I79" s="69"/>
    </row>
    <row r="80" spans="1:9" ht="18.75" customHeight="1" x14ac:dyDescent="0.25">
      <c r="A80" s="82" t="s">
        <v>39</v>
      </c>
      <c r="B80" s="5" t="s">
        <v>8</v>
      </c>
      <c r="C80" s="68" t="s">
        <v>218</v>
      </c>
      <c r="D80" s="5">
        <f t="shared" si="4"/>
        <v>10000</v>
      </c>
      <c r="E80" s="5">
        <f>SUM('sav.f. 3 '!F75)</f>
        <v>10000</v>
      </c>
      <c r="F80" s="5"/>
      <c r="G80" s="5"/>
      <c r="H80" s="5"/>
      <c r="I80" s="69"/>
    </row>
    <row r="81" spans="1:9" ht="18.75" customHeight="1" x14ac:dyDescent="0.25">
      <c r="A81" s="82" t="s">
        <v>40</v>
      </c>
      <c r="B81" s="68" t="s">
        <v>122</v>
      </c>
      <c r="C81" s="68" t="s">
        <v>15</v>
      </c>
      <c r="D81" s="5">
        <f t="shared" si="4"/>
        <v>292800</v>
      </c>
      <c r="E81" s="5">
        <v>40900</v>
      </c>
      <c r="F81" s="5">
        <f>SUM('Valst.f. 4'!F56)</f>
        <v>241600</v>
      </c>
      <c r="G81" s="5"/>
      <c r="H81" s="5">
        <v>1300</v>
      </c>
      <c r="I81" s="69">
        <f>SUM(Spec.7!G26)</f>
        <v>9000</v>
      </c>
    </row>
    <row r="82" spans="1:9" ht="17.25" customHeight="1" x14ac:dyDescent="0.25">
      <c r="A82" s="292" t="s">
        <v>202</v>
      </c>
      <c r="B82" s="292"/>
      <c r="C82" s="292"/>
      <c r="D82" s="117">
        <f t="shared" si="4"/>
        <v>759800</v>
      </c>
      <c r="E82" s="117">
        <f>SUM(E78:E81)</f>
        <v>113900</v>
      </c>
      <c r="F82" s="50">
        <f>SUM(F78:F81)</f>
        <v>635600</v>
      </c>
      <c r="G82" s="50">
        <f>SUM(G78:G81)</f>
        <v>0</v>
      </c>
      <c r="H82" s="50">
        <f>SUM(H78:H81)</f>
        <v>1300</v>
      </c>
      <c r="I82" s="50">
        <f>SUM(I78:I81)</f>
        <v>9000</v>
      </c>
    </row>
    <row r="83" spans="1:9" ht="19.5" customHeight="1" x14ac:dyDescent="0.25">
      <c r="A83" s="293" t="s">
        <v>219</v>
      </c>
      <c r="B83" s="293"/>
      <c r="C83" s="293"/>
      <c r="D83" s="293"/>
      <c r="E83" s="293"/>
      <c r="F83" s="293"/>
      <c r="G83" s="293"/>
      <c r="H83" s="293"/>
      <c r="I83" s="293"/>
    </row>
    <row r="84" spans="1:9" ht="16.5" customHeight="1" x14ac:dyDescent="0.25">
      <c r="A84" s="82" t="s">
        <v>37</v>
      </c>
      <c r="B84" s="5" t="s">
        <v>18</v>
      </c>
      <c r="C84" s="5" t="s">
        <v>175</v>
      </c>
      <c r="D84" s="5">
        <f>SUM(E84:I84)</f>
        <v>1254189</v>
      </c>
      <c r="E84" s="5">
        <f>1130290-20990+43199</f>
        <v>1152499</v>
      </c>
      <c r="F84" s="5">
        <v>76700</v>
      </c>
      <c r="G84" s="5"/>
      <c r="H84" s="5">
        <v>20990</v>
      </c>
      <c r="I84" s="69">
        <f>SUM(Spec.7!G28)</f>
        <v>4000</v>
      </c>
    </row>
    <row r="85" spans="1:9" ht="16.5" customHeight="1" x14ac:dyDescent="0.25">
      <c r="A85" s="82" t="s">
        <v>38</v>
      </c>
      <c r="B85" s="5" t="s">
        <v>19</v>
      </c>
      <c r="C85" s="5" t="s">
        <v>6</v>
      </c>
      <c r="D85" s="5">
        <f t="shared" ref="D85:D93" si="5">SUM(E85:I85)</f>
        <v>260450</v>
      </c>
      <c r="E85" s="5">
        <v>240050</v>
      </c>
      <c r="F85" s="5">
        <v>13900</v>
      </c>
      <c r="G85" s="5"/>
      <c r="H85" s="5">
        <f>3500+3000</f>
        <v>6500</v>
      </c>
      <c r="I85" s="69"/>
    </row>
    <row r="86" spans="1:9" ht="16.5" customHeight="1" x14ac:dyDescent="0.25">
      <c r="A86" s="82" t="s">
        <v>39</v>
      </c>
      <c r="B86" s="5" t="s">
        <v>8</v>
      </c>
      <c r="C86" s="5" t="s">
        <v>158</v>
      </c>
      <c r="D86" s="45">
        <f t="shared" si="5"/>
        <v>1280170</v>
      </c>
      <c r="E86" s="45">
        <f>1077210+12000</f>
        <v>1089210</v>
      </c>
      <c r="F86" s="45">
        <v>74400</v>
      </c>
      <c r="G86" s="45"/>
      <c r="H86" s="45">
        <f>38890+50950+26720</f>
        <v>116560</v>
      </c>
      <c r="I86" s="118"/>
    </row>
    <row r="87" spans="1:9" ht="16.5" customHeight="1" x14ac:dyDescent="0.25">
      <c r="A87" s="82" t="s">
        <v>40</v>
      </c>
      <c r="B87" s="5" t="s">
        <v>8</v>
      </c>
      <c r="C87" s="5" t="s">
        <v>454</v>
      </c>
      <c r="D87" s="45">
        <f t="shared" si="5"/>
        <v>1200000</v>
      </c>
      <c r="E87" s="45"/>
      <c r="F87" s="45">
        <f>SUM('Valst.f. 4'!I57)</f>
        <v>1200000</v>
      </c>
      <c r="G87" s="45"/>
      <c r="H87" s="45"/>
      <c r="I87" s="118"/>
    </row>
    <row r="88" spans="1:9" ht="16.5" customHeight="1" x14ac:dyDescent="0.25">
      <c r="A88" s="82" t="s">
        <v>41</v>
      </c>
      <c r="B88" s="5" t="s">
        <v>8</v>
      </c>
      <c r="C88" s="65" t="s">
        <v>26</v>
      </c>
      <c r="D88" s="45">
        <f t="shared" si="5"/>
        <v>15000</v>
      </c>
      <c r="E88" s="45">
        <f>SUM('sav.f. 3 '!F79)</f>
        <v>15000</v>
      </c>
      <c r="F88" s="45"/>
      <c r="G88" s="45"/>
      <c r="H88" s="45"/>
      <c r="I88" s="118"/>
    </row>
    <row r="89" spans="1:9" ht="16.5" customHeight="1" x14ac:dyDescent="0.25">
      <c r="A89" s="82" t="s">
        <v>42</v>
      </c>
      <c r="B89" s="5" t="s">
        <v>8</v>
      </c>
      <c r="C89" s="55" t="s">
        <v>391</v>
      </c>
      <c r="D89" s="45">
        <f t="shared" si="5"/>
        <v>27000</v>
      </c>
      <c r="E89" s="45">
        <f>SUM('sav.f. 3 '!F81)</f>
        <v>27000</v>
      </c>
      <c r="F89" s="45"/>
      <c r="G89" s="45"/>
      <c r="H89" s="45"/>
      <c r="I89" s="118"/>
    </row>
    <row r="90" spans="1:9" ht="16.5" customHeight="1" x14ac:dyDescent="0.25">
      <c r="A90" s="82" t="s">
        <v>43</v>
      </c>
      <c r="B90" s="55" t="s">
        <v>8</v>
      </c>
      <c r="C90" s="65" t="s">
        <v>423</v>
      </c>
      <c r="D90" s="45">
        <f t="shared" si="5"/>
        <v>37000</v>
      </c>
      <c r="E90" s="45">
        <f>SUM('sav.f. 3 '!G80)</f>
        <v>37000</v>
      </c>
      <c r="F90" s="45"/>
      <c r="G90" s="45"/>
      <c r="H90" s="45"/>
      <c r="I90" s="118"/>
    </row>
    <row r="91" spans="1:9" ht="16.5" customHeight="1" x14ac:dyDescent="0.25">
      <c r="A91" s="82" t="s">
        <v>44</v>
      </c>
      <c r="B91" s="55" t="s">
        <v>8</v>
      </c>
      <c r="C91" s="5" t="s">
        <v>479</v>
      </c>
      <c r="D91" s="45">
        <f t="shared" si="5"/>
        <v>391048</v>
      </c>
      <c r="E91" s="45">
        <f>326438-5712+9610</f>
        <v>330336</v>
      </c>
      <c r="F91" s="45"/>
      <c r="G91" s="45"/>
      <c r="H91" s="45">
        <f>5712+55000</f>
        <v>60712</v>
      </c>
      <c r="I91" s="118"/>
    </row>
    <row r="92" spans="1:9" ht="16.5" customHeight="1" x14ac:dyDescent="0.25">
      <c r="A92" s="82" t="s">
        <v>45</v>
      </c>
      <c r="B92" s="55" t="s">
        <v>24</v>
      </c>
      <c r="C92" s="5" t="s">
        <v>31</v>
      </c>
      <c r="D92" s="45">
        <f t="shared" si="5"/>
        <v>53100</v>
      </c>
      <c r="E92" s="45">
        <f>SUM('sav.f. 3 '!F84)</f>
        <v>3100</v>
      </c>
      <c r="F92" s="45"/>
      <c r="G92" s="45"/>
      <c r="H92" s="45"/>
      <c r="I92" s="118">
        <f>SUM(Spec.7!G24)</f>
        <v>50000</v>
      </c>
    </row>
    <row r="93" spans="1:9" ht="16.5" customHeight="1" x14ac:dyDescent="0.25">
      <c r="A93" s="82" t="s">
        <v>46</v>
      </c>
      <c r="B93" s="55" t="s">
        <v>24</v>
      </c>
      <c r="C93" s="5" t="s">
        <v>222</v>
      </c>
      <c r="D93" s="45">
        <f t="shared" si="5"/>
        <v>528574</v>
      </c>
      <c r="E93" s="45">
        <v>424474</v>
      </c>
      <c r="F93" s="45"/>
      <c r="G93" s="45">
        <f>SUM('MK 5'!F30)</f>
        <v>84100</v>
      </c>
      <c r="H93" s="45">
        <v>20000</v>
      </c>
      <c r="I93" s="118"/>
    </row>
    <row r="94" spans="1:9" ht="15" customHeight="1" x14ac:dyDescent="0.25">
      <c r="A94" s="292" t="s">
        <v>202</v>
      </c>
      <c r="B94" s="292"/>
      <c r="C94" s="292"/>
      <c r="D94" s="117">
        <f>SUM(E94:I94)</f>
        <v>5046531</v>
      </c>
      <c r="E94" s="124">
        <f>SUM(E84:E93)</f>
        <v>3318669</v>
      </c>
      <c r="F94" s="124">
        <f>SUM(F84:F93)</f>
        <v>1365000</v>
      </c>
      <c r="G94" s="124">
        <f>SUM(G84:G93)</f>
        <v>84100</v>
      </c>
      <c r="H94" s="124">
        <f>SUM(H84:H93)</f>
        <v>224762</v>
      </c>
      <c r="I94" s="124">
        <f>SUM(I84:I93)</f>
        <v>54000</v>
      </c>
    </row>
    <row r="95" spans="1:9" ht="18" customHeight="1" x14ac:dyDescent="0.25">
      <c r="A95" s="293" t="s">
        <v>220</v>
      </c>
      <c r="B95" s="293"/>
      <c r="C95" s="293"/>
      <c r="D95" s="293"/>
      <c r="E95" s="293"/>
      <c r="F95" s="293"/>
      <c r="G95" s="293"/>
      <c r="H95" s="293"/>
      <c r="I95" s="293"/>
    </row>
    <row r="96" spans="1:9" ht="18" customHeight="1" x14ac:dyDescent="0.25">
      <c r="A96" s="82" t="s">
        <v>37</v>
      </c>
      <c r="B96" s="5" t="s">
        <v>8</v>
      </c>
      <c r="C96" s="65" t="s">
        <v>399</v>
      </c>
      <c r="D96" s="116">
        <f>SUM(E96:I96)</f>
        <v>113258</v>
      </c>
      <c r="E96" s="34">
        <f>75906+3550+600</f>
        <v>80056</v>
      </c>
      <c r="F96" s="119"/>
      <c r="G96" s="119"/>
      <c r="H96" s="119">
        <f>8346+16700+8156</f>
        <v>33202</v>
      </c>
      <c r="I96" s="69"/>
    </row>
    <row r="97" spans="1:9" ht="18" customHeight="1" x14ac:dyDescent="0.25">
      <c r="A97" s="82" t="s">
        <v>38</v>
      </c>
      <c r="B97" s="5" t="s">
        <v>8</v>
      </c>
      <c r="C97" s="5" t="s">
        <v>338</v>
      </c>
      <c r="D97" s="34">
        <f>SUM(E97:I97)</f>
        <v>23400</v>
      </c>
      <c r="E97" s="34">
        <f>SUM('sav.f. 3 '!F87)</f>
        <v>23400</v>
      </c>
      <c r="F97" s="9"/>
      <c r="G97" s="9"/>
      <c r="H97" s="9"/>
      <c r="I97" s="69"/>
    </row>
    <row r="98" spans="1:9" ht="33" customHeight="1" x14ac:dyDescent="0.25">
      <c r="A98" s="82" t="s">
        <v>39</v>
      </c>
      <c r="B98" s="5" t="s">
        <v>8</v>
      </c>
      <c r="C98" s="169" t="s">
        <v>339</v>
      </c>
      <c r="D98" s="34">
        <f>SUM(E98:I98)</f>
        <v>25000</v>
      </c>
      <c r="E98" s="34">
        <f>SUM('sav.f. 3 '!F112)</f>
        <v>25000</v>
      </c>
      <c r="F98" s="9"/>
      <c r="G98" s="9"/>
      <c r="H98" s="9"/>
      <c r="I98" s="69"/>
    </row>
    <row r="99" spans="1:9" ht="18" customHeight="1" x14ac:dyDescent="0.25">
      <c r="A99" s="82" t="s">
        <v>40</v>
      </c>
      <c r="B99" s="5" t="s">
        <v>8</v>
      </c>
      <c r="C99" s="5" t="s">
        <v>337</v>
      </c>
      <c r="D99" s="34">
        <f>SUM(E99:I99)</f>
        <v>42000</v>
      </c>
      <c r="E99" s="34">
        <v>30000</v>
      </c>
      <c r="F99" s="9"/>
      <c r="G99" s="9"/>
      <c r="H99" s="9">
        <v>12000</v>
      </c>
      <c r="I99" s="69"/>
    </row>
    <row r="100" spans="1:9" ht="18.75" customHeight="1" x14ac:dyDescent="0.25">
      <c r="A100" s="291" t="s">
        <v>202</v>
      </c>
      <c r="B100" s="291"/>
      <c r="C100" s="291"/>
      <c r="D100" s="132">
        <f>SUM(E100:I100)</f>
        <v>203658</v>
      </c>
      <c r="E100" s="133">
        <f>SUM(E96:E99)</f>
        <v>158456</v>
      </c>
      <c r="F100" s="133">
        <f>SUM(F96:F97)</f>
        <v>0</v>
      </c>
      <c r="G100" s="133">
        <f>SUM(G96:G97)</f>
        <v>0</v>
      </c>
      <c r="H100" s="133">
        <f>SUM(H96:H99)</f>
        <v>45202</v>
      </c>
      <c r="I100" s="100">
        <f>SUM(I96:I97)</f>
        <v>0</v>
      </c>
    </row>
    <row r="101" spans="1:9" ht="19.5" customHeight="1" x14ac:dyDescent="0.25">
      <c r="A101" s="293" t="s">
        <v>221</v>
      </c>
      <c r="B101" s="293"/>
      <c r="C101" s="293"/>
      <c r="D101" s="293"/>
      <c r="E101" s="293"/>
      <c r="F101" s="293"/>
      <c r="G101" s="293"/>
      <c r="H101" s="293"/>
      <c r="I101" s="293"/>
    </row>
    <row r="102" spans="1:9" ht="32.25" customHeight="1" x14ac:dyDescent="0.25">
      <c r="A102" s="83" t="s">
        <v>37</v>
      </c>
      <c r="B102" s="96" t="s">
        <v>368</v>
      </c>
      <c r="C102" s="9" t="s">
        <v>185</v>
      </c>
      <c r="D102" s="9">
        <f>SUM(E102:I102)</f>
        <v>1737370</v>
      </c>
      <c r="E102" s="9">
        <f>743300+71422</f>
        <v>814722</v>
      </c>
      <c r="F102" s="9"/>
      <c r="G102" s="9">
        <f>SUM('MK 5'!F14)</f>
        <v>729580</v>
      </c>
      <c r="H102" s="9">
        <f>35137+62952</f>
        <v>98089</v>
      </c>
      <c r="I102" s="97">
        <f>SUM(Spec.7!G13)</f>
        <v>94979</v>
      </c>
    </row>
    <row r="103" spans="1:9" ht="32.25" customHeight="1" x14ac:dyDescent="0.25">
      <c r="A103" s="82" t="s">
        <v>38</v>
      </c>
      <c r="B103" s="55" t="s">
        <v>369</v>
      </c>
      <c r="C103" s="5" t="s">
        <v>185</v>
      </c>
      <c r="D103" s="45">
        <f t="shared" ref="D103:D120" si="6">SUM(E103:I103)</f>
        <v>1601763</v>
      </c>
      <c r="E103" s="45">
        <f>637900+76010</f>
        <v>713910</v>
      </c>
      <c r="F103" s="45"/>
      <c r="G103" s="45">
        <f>SUM('MK 5'!F15)</f>
        <v>770717</v>
      </c>
      <c r="H103" s="45">
        <f>21146+990</f>
        <v>22136</v>
      </c>
      <c r="I103" s="118">
        <f>SUM(Spec.7!G14)</f>
        <v>95000</v>
      </c>
    </row>
    <row r="104" spans="1:9" ht="34.5" customHeight="1" x14ac:dyDescent="0.25">
      <c r="A104" s="82" t="s">
        <v>39</v>
      </c>
      <c r="B104" s="55" t="s">
        <v>370</v>
      </c>
      <c r="C104" s="5" t="s">
        <v>186</v>
      </c>
      <c r="D104" s="45">
        <f t="shared" si="6"/>
        <v>243350</v>
      </c>
      <c r="E104" s="45">
        <f>SUM('sav.f. 3 '!F90)</f>
        <v>124900</v>
      </c>
      <c r="F104" s="45"/>
      <c r="G104" s="45">
        <f>SUM('MK 5'!F16)</f>
        <v>105450</v>
      </c>
      <c r="H104" s="45"/>
      <c r="I104" s="118">
        <f>SUM(Spec.7!G11)</f>
        <v>13000</v>
      </c>
    </row>
    <row r="105" spans="1:9" ht="31.5" customHeight="1" x14ac:dyDescent="0.25">
      <c r="A105" s="82" t="s">
        <v>40</v>
      </c>
      <c r="B105" s="55" t="s">
        <v>371</v>
      </c>
      <c r="C105" s="5" t="s">
        <v>186</v>
      </c>
      <c r="D105" s="45">
        <f t="shared" si="6"/>
        <v>653863</v>
      </c>
      <c r="E105" s="45">
        <f>324300+19785</f>
        <v>344085</v>
      </c>
      <c r="F105" s="45"/>
      <c r="G105" s="45">
        <f>SUM('MK 5'!F17)</f>
        <v>264300</v>
      </c>
      <c r="H105" s="45">
        <v>11978</v>
      </c>
      <c r="I105" s="118">
        <f>SUM(Spec.7!G12)</f>
        <v>33500</v>
      </c>
    </row>
    <row r="106" spans="1:9" ht="15.75" customHeight="1" x14ac:dyDescent="0.25">
      <c r="A106" s="82" t="s">
        <v>41</v>
      </c>
      <c r="B106" s="55" t="s">
        <v>372</v>
      </c>
      <c r="C106" s="73" t="s">
        <v>187</v>
      </c>
      <c r="D106" s="116">
        <f t="shared" si="6"/>
        <v>1384022</v>
      </c>
      <c r="E106" s="119">
        <f>SUM('sav.f. 3 '!F92)</f>
        <v>882732</v>
      </c>
      <c r="F106" s="45"/>
      <c r="G106" s="119">
        <f>SUM('MK 5'!F18)</f>
        <v>501290</v>
      </c>
      <c r="H106" s="119"/>
      <c r="I106" s="118"/>
    </row>
    <row r="107" spans="1:9" ht="14.25" customHeight="1" x14ac:dyDescent="0.25">
      <c r="A107" s="82" t="s">
        <v>42</v>
      </c>
      <c r="B107" s="55" t="s">
        <v>373</v>
      </c>
      <c r="C107" s="73" t="s">
        <v>187</v>
      </c>
      <c r="D107" s="116">
        <f t="shared" si="6"/>
        <v>568953</v>
      </c>
      <c r="E107" s="119">
        <f>SUM('sav.f. 3 '!F93)</f>
        <v>115373</v>
      </c>
      <c r="F107" s="45"/>
      <c r="G107" s="119">
        <f>SUM('MK 5'!F19)</f>
        <v>453580</v>
      </c>
      <c r="H107" s="119"/>
      <c r="I107" s="118"/>
    </row>
    <row r="108" spans="1:9" ht="30" customHeight="1" x14ac:dyDescent="0.25">
      <c r="A108" s="82" t="s">
        <v>43</v>
      </c>
      <c r="B108" s="55" t="s">
        <v>374</v>
      </c>
      <c r="C108" s="73" t="s">
        <v>187</v>
      </c>
      <c r="D108" s="116">
        <f t="shared" si="6"/>
        <v>1021346</v>
      </c>
      <c r="E108" s="119">
        <f>236400+25598</f>
        <v>261998</v>
      </c>
      <c r="F108" s="45"/>
      <c r="G108" s="119">
        <f>SUM('MK 5'!F20)</f>
        <v>735510</v>
      </c>
      <c r="H108" s="119">
        <f>20918+2420</f>
        <v>23338</v>
      </c>
      <c r="I108" s="118">
        <f>SUM(Spec.7!G29)</f>
        <v>500</v>
      </c>
    </row>
    <row r="109" spans="1:9" ht="16.5" customHeight="1" x14ac:dyDescent="0.25">
      <c r="A109" s="82" t="s">
        <v>44</v>
      </c>
      <c r="B109" s="74" t="s">
        <v>375</v>
      </c>
      <c r="C109" s="73" t="s">
        <v>187</v>
      </c>
      <c r="D109" s="116">
        <f t="shared" si="6"/>
        <v>1041789</v>
      </c>
      <c r="E109" s="119">
        <f>371748-3461+14031</f>
        <v>382318</v>
      </c>
      <c r="F109" s="45"/>
      <c r="G109" s="119">
        <f>SUM('MK 5'!F21)</f>
        <v>647010</v>
      </c>
      <c r="H109" s="119">
        <v>3461</v>
      </c>
      <c r="I109" s="118">
        <f>SUM(Spec.7!G21)</f>
        <v>9000</v>
      </c>
    </row>
    <row r="110" spans="1:9" ht="16.5" customHeight="1" x14ac:dyDescent="0.25">
      <c r="A110" s="82" t="s">
        <v>45</v>
      </c>
      <c r="B110" s="74" t="s">
        <v>376</v>
      </c>
      <c r="C110" s="73" t="s">
        <v>187</v>
      </c>
      <c r="D110" s="116">
        <f t="shared" si="6"/>
        <v>767390</v>
      </c>
      <c r="E110" s="119">
        <f>191200+9920</f>
        <v>201120</v>
      </c>
      <c r="F110" s="45"/>
      <c r="G110" s="119">
        <f>SUM('MK 5'!F22)</f>
        <v>546561</v>
      </c>
      <c r="H110" s="119">
        <f>3009+16500</f>
        <v>19509</v>
      </c>
      <c r="I110" s="118">
        <f>SUM(Spec.7!G20)</f>
        <v>200</v>
      </c>
    </row>
    <row r="111" spans="1:9" ht="16.5" customHeight="1" x14ac:dyDescent="0.25">
      <c r="A111" s="82" t="s">
        <v>46</v>
      </c>
      <c r="B111" s="74" t="s">
        <v>377</v>
      </c>
      <c r="C111" s="73" t="s">
        <v>187</v>
      </c>
      <c r="D111" s="116">
        <f t="shared" si="6"/>
        <v>662842</v>
      </c>
      <c r="E111" s="119">
        <f>120400+8472</f>
        <v>128872</v>
      </c>
      <c r="F111" s="45"/>
      <c r="G111" s="119">
        <f>SUM('MK 5'!F23)</f>
        <v>514470</v>
      </c>
      <c r="H111" s="119">
        <f>3000+16500</f>
        <v>19500</v>
      </c>
      <c r="I111" s="118"/>
    </row>
    <row r="112" spans="1:9" ht="16.5" customHeight="1" x14ac:dyDescent="0.25">
      <c r="A112" s="82" t="s">
        <v>47</v>
      </c>
      <c r="B112" s="5" t="s">
        <v>378</v>
      </c>
      <c r="C112" s="73" t="s">
        <v>187</v>
      </c>
      <c r="D112" s="116">
        <f t="shared" si="6"/>
        <v>1250245</v>
      </c>
      <c r="E112" s="119">
        <f>SUM('sav.f. 3 '!F98)</f>
        <v>312505</v>
      </c>
      <c r="F112" s="45"/>
      <c r="G112" s="119">
        <f>SUM('MK 5'!F24)</f>
        <v>937240</v>
      </c>
      <c r="H112" s="119"/>
      <c r="I112" s="118">
        <f>SUM(Spec.7!G18)</f>
        <v>500</v>
      </c>
    </row>
    <row r="113" spans="1:9" ht="16.5" customHeight="1" x14ac:dyDescent="0.25">
      <c r="A113" s="82" t="s">
        <v>48</v>
      </c>
      <c r="B113" s="5" t="s">
        <v>379</v>
      </c>
      <c r="C113" s="73" t="s">
        <v>187</v>
      </c>
      <c r="D113" s="116">
        <f t="shared" si="6"/>
        <v>1289951</v>
      </c>
      <c r="E113" s="119">
        <v>384850</v>
      </c>
      <c r="F113" s="45"/>
      <c r="G113" s="119">
        <f>SUM('MK 5'!F25)</f>
        <v>893460</v>
      </c>
      <c r="H113" s="119">
        <v>11041</v>
      </c>
      <c r="I113" s="118">
        <f>SUM(Spec.7!G19)</f>
        <v>600</v>
      </c>
    </row>
    <row r="114" spans="1:9" ht="16.5" customHeight="1" x14ac:dyDescent="0.25">
      <c r="A114" s="82" t="s">
        <v>49</v>
      </c>
      <c r="B114" s="5" t="s">
        <v>323</v>
      </c>
      <c r="C114" s="5" t="s">
        <v>187</v>
      </c>
      <c r="D114" s="45">
        <f t="shared" si="6"/>
        <v>2825427</v>
      </c>
      <c r="E114" s="45">
        <f>691560+54313-1807</f>
        <v>744066</v>
      </c>
      <c r="F114" s="45">
        <f>SUM('Valst.f. 4'!F63)</f>
        <v>380000</v>
      </c>
      <c r="G114" s="45">
        <f>SUM('MK 5'!F26)</f>
        <v>1635940</v>
      </c>
      <c r="H114" s="45">
        <f>14513+49308</f>
        <v>63821</v>
      </c>
      <c r="I114" s="118">
        <f>SUM(Spec.7!G16)</f>
        <v>1600</v>
      </c>
    </row>
    <row r="115" spans="1:9" ht="30.75" customHeight="1" x14ac:dyDescent="0.25">
      <c r="A115" s="82" t="s">
        <v>50</v>
      </c>
      <c r="B115" s="55" t="s">
        <v>381</v>
      </c>
      <c r="C115" s="5" t="s">
        <v>187</v>
      </c>
      <c r="D115" s="45">
        <f t="shared" si="6"/>
        <v>2397663</v>
      </c>
      <c r="E115" s="45">
        <f>563520+29339</f>
        <v>592859</v>
      </c>
      <c r="F115" s="45"/>
      <c r="G115" s="45">
        <f>SUM('MK 5'!F27)</f>
        <v>1470580</v>
      </c>
      <c r="H115" s="45">
        <f>272700+59324</f>
        <v>332024</v>
      </c>
      <c r="I115" s="118">
        <f>SUM(Spec.7!G17)</f>
        <v>2200</v>
      </c>
    </row>
    <row r="116" spans="1:9" ht="32.25" customHeight="1" x14ac:dyDescent="0.25">
      <c r="A116" s="82" t="s">
        <v>51</v>
      </c>
      <c r="B116" s="55" t="s">
        <v>380</v>
      </c>
      <c r="C116" s="58" t="s">
        <v>187</v>
      </c>
      <c r="D116" s="115">
        <f t="shared" si="6"/>
        <v>4339064</v>
      </c>
      <c r="E116" s="45">
        <f>783400+74440+20000-11450</f>
        <v>866390</v>
      </c>
      <c r="F116" s="45">
        <f>SUM('Valst.f. 4'!F64)</f>
        <v>56500</v>
      </c>
      <c r="G116" s="45">
        <f>SUM('MK 5'!F28)</f>
        <v>3341880</v>
      </c>
      <c r="H116" s="45">
        <f>47844+450</f>
        <v>48294</v>
      </c>
      <c r="I116" s="118">
        <f>SUM(Spec.7!G15)</f>
        <v>26000</v>
      </c>
    </row>
    <row r="117" spans="1:9" ht="15.75" customHeight="1" x14ac:dyDescent="0.25">
      <c r="A117" s="82" t="s">
        <v>52</v>
      </c>
      <c r="B117" s="55" t="s">
        <v>28</v>
      </c>
      <c r="C117" s="70" t="s">
        <v>173</v>
      </c>
      <c r="D117" s="115">
        <f t="shared" si="6"/>
        <v>1124842</v>
      </c>
      <c r="E117" s="119">
        <f>SUM('sav.f. 3 '!F103)</f>
        <v>937640</v>
      </c>
      <c r="F117" s="45"/>
      <c r="G117" s="119">
        <f>SUM('MK 5'!F29)</f>
        <v>67370</v>
      </c>
      <c r="H117" s="119"/>
      <c r="I117" s="118">
        <f>SUM(Spec.7!G22)</f>
        <v>119832</v>
      </c>
    </row>
    <row r="118" spans="1:9" ht="17.25" customHeight="1" x14ac:dyDescent="0.25">
      <c r="A118" s="82" t="s">
        <v>53</v>
      </c>
      <c r="B118" s="15" t="s">
        <v>8</v>
      </c>
      <c r="C118" s="76" t="s">
        <v>73</v>
      </c>
      <c r="D118" s="116">
        <f t="shared" si="6"/>
        <v>259200</v>
      </c>
      <c r="E118" s="45">
        <f>SUM('sav.f. 3 '!F106)</f>
        <v>154500</v>
      </c>
      <c r="F118" s="119"/>
      <c r="G118" s="45">
        <f>SUM('MK 5'!G31)</f>
        <v>104700</v>
      </c>
      <c r="H118" s="45"/>
      <c r="I118" s="118"/>
    </row>
    <row r="119" spans="1:9" ht="18" customHeight="1" x14ac:dyDescent="0.25">
      <c r="A119" s="82" t="s">
        <v>54</v>
      </c>
      <c r="B119" s="5" t="s">
        <v>8</v>
      </c>
      <c r="C119" s="70" t="s">
        <v>223</v>
      </c>
      <c r="D119" s="115">
        <f t="shared" si="6"/>
        <v>524680</v>
      </c>
      <c r="E119" s="45">
        <v>440000</v>
      </c>
      <c r="F119" s="45"/>
      <c r="G119" s="45"/>
      <c r="H119" s="45">
        <f>54680+30000</f>
        <v>84680</v>
      </c>
      <c r="I119" s="118"/>
    </row>
    <row r="120" spans="1:9" ht="33" customHeight="1" x14ac:dyDescent="0.25">
      <c r="A120" s="82" t="s">
        <v>55</v>
      </c>
      <c r="B120" s="5" t="s">
        <v>8</v>
      </c>
      <c r="C120" s="55" t="s">
        <v>172</v>
      </c>
      <c r="D120" s="45">
        <f t="shared" si="6"/>
        <v>10000</v>
      </c>
      <c r="E120" s="45">
        <f>SUM('sav.f. 3 '!F109)</f>
        <v>10000</v>
      </c>
      <c r="F120" s="45"/>
      <c r="G120" s="45"/>
      <c r="H120" s="45"/>
      <c r="I120" s="118"/>
    </row>
    <row r="121" spans="1:9" ht="18" customHeight="1" x14ac:dyDescent="0.25">
      <c r="A121" s="82" t="s">
        <v>56</v>
      </c>
      <c r="B121" s="15" t="s">
        <v>8</v>
      </c>
      <c r="C121" s="67" t="s">
        <v>115</v>
      </c>
      <c r="D121" s="116">
        <f>SUM(E121:I121)</f>
        <v>15000</v>
      </c>
      <c r="E121" s="45">
        <f>SUM('sav.f. 3 '!F108)</f>
        <v>15000</v>
      </c>
      <c r="F121" s="45"/>
      <c r="G121" s="45"/>
      <c r="H121" s="45"/>
      <c r="I121" s="118"/>
    </row>
    <row r="122" spans="1:9" ht="18" customHeight="1" x14ac:dyDescent="0.25">
      <c r="A122" s="82" t="s">
        <v>57</v>
      </c>
      <c r="B122" s="15" t="s">
        <v>8</v>
      </c>
      <c r="C122" s="65" t="s">
        <v>356</v>
      </c>
      <c r="D122" s="116">
        <f>SUM(E122:I122)</f>
        <v>7000</v>
      </c>
      <c r="E122" s="45">
        <f>SUM('sav.f. 3 '!G27)</f>
        <v>7000</v>
      </c>
      <c r="F122" s="45"/>
      <c r="G122" s="45"/>
      <c r="H122" s="45"/>
      <c r="I122" s="118"/>
    </row>
    <row r="123" spans="1:9" ht="18" customHeight="1" x14ac:dyDescent="0.25">
      <c r="A123" s="82" t="s">
        <v>58</v>
      </c>
      <c r="B123" s="15" t="s">
        <v>8</v>
      </c>
      <c r="C123" s="67" t="s">
        <v>187</v>
      </c>
      <c r="D123" s="116">
        <f>SUM(E123:I123)</f>
        <v>262</v>
      </c>
      <c r="E123" s="45"/>
      <c r="F123" s="45"/>
      <c r="G123" s="45">
        <f>SUM('MK 5'!F32)</f>
        <v>262</v>
      </c>
      <c r="H123" s="45"/>
      <c r="I123" s="118"/>
    </row>
    <row r="124" spans="1:9" ht="18" customHeight="1" x14ac:dyDescent="0.25">
      <c r="A124" s="292" t="s">
        <v>202</v>
      </c>
      <c r="B124" s="292"/>
      <c r="C124" s="292"/>
      <c r="D124" s="117">
        <f>SUM(E124:I124)</f>
        <v>23726022</v>
      </c>
      <c r="E124" s="117">
        <f>SUM(E102:E123)</f>
        <v>8434840</v>
      </c>
      <c r="F124" s="117">
        <f>SUM(F102:F123)</f>
        <v>436500</v>
      </c>
      <c r="G124" s="117">
        <f>SUM(G102:G123)</f>
        <v>13719900</v>
      </c>
      <c r="H124" s="117">
        <f>SUM(H102:H123)</f>
        <v>737871</v>
      </c>
      <c r="I124" s="117">
        <f>SUM(I102:I123)</f>
        <v>396911</v>
      </c>
    </row>
    <row r="125" spans="1:9" ht="27" customHeight="1" x14ac:dyDescent="0.25">
      <c r="A125" s="293" t="s">
        <v>224</v>
      </c>
      <c r="B125" s="293"/>
      <c r="C125" s="293"/>
      <c r="D125" s="293"/>
      <c r="E125" s="293"/>
      <c r="F125" s="293"/>
      <c r="G125" s="293"/>
      <c r="H125" s="293"/>
      <c r="I125" s="293"/>
    </row>
    <row r="126" spans="1:9" ht="34.5" customHeight="1" x14ac:dyDescent="0.25">
      <c r="A126" s="82" t="s">
        <v>37</v>
      </c>
      <c r="B126" s="110" t="s">
        <v>117</v>
      </c>
      <c r="C126" s="76" t="s">
        <v>225</v>
      </c>
      <c r="D126" s="34">
        <f>SUM(E126:I126)</f>
        <v>398328</v>
      </c>
      <c r="E126" s="9">
        <f>216000+2642</f>
        <v>218642</v>
      </c>
      <c r="F126" s="9">
        <f>SUM('Valst.f. 4'!F51-F50)</f>
        <v>81474</v>
      </c>
      <c r="G126" s="34"/>
      <c r="H126" s="34">
        <v>10212</v>
      </c>
      <c r="I126" s="69">
        <f>SUM(Spec.7!G25)</f>
        <v>88000</v>
      </c>
    </row>
    <row r="127" spans="1:9" ht="18.75" customHeight="1" x14ac:dyDescent="0.25">
      <c r="A127" s="121" t="s">
        <v>38</v>
      </c>
      <c r="B127" s="5" t="s">
        <v>8</v>
      </c>
      <c r="C127" s="70" t="s">
        <v>171</v>
      </c>
      <c r="D127" s="48">
        <f t="shared" ref="D127:D147" si="7">SUM(E127:I127)</f>
        <v>2267212</v>
      </c>
      <c r="E127" s="5">
        <f>684877+20000+7168</f>
        <v>712045</v>
      </c>
      <c r="F127" s="5">
        <f>SUM('Valst.f. 4'!G52,'Valst.f. 4'!G54,-'Valst.f. 4'!G53)</f>
        <v>1301826</v>
      </c>
      <c r="G127" s="48"/>
      <c r="H127" s="48">
        <f>75000+9935+139832+17000-39000+35574+15000</f>
        <v>253341</v>
      </c>
      <c r="I127" s="69"/>
    </row>
    <row r="128" spans="1:9" ht="18.75" customHeight="1" x14ac:dyDescent="0.25">
      <c r="A128" s="82" t="s">
        <v>39</v>
      </c>
      <c r="B128" s="5" t="s">
        <v>8</v>
      </c>
      <c r="C128" s="5" t="s">
        <v>118</v>
      </c>
      <c r="D128" s="5">
        <f t="shared" si="7"/>
        <v>4400</v>
      </c>
      <c r="E128" s="5">
        <v>4000</v>
      </c>
      <c r="F128" s="5"/>
      <c r="G128" s="5"/>
      <c r="H128" s="5">
        <v>400</v>
      </c>
      <c r="I128" s="69"/>
    </row>
    <row r="129" spans="1:9" ht="18.75" customHeight="1" x14ac:dyDescent="0.25">
      <c r="A129" s="82" t="s">
        <v>40</v>
      </c>
      <c r="B129" s="5" t="s">
        <v>8</v>
      </c>
      <c r="C129" s="70" t="s">
        <v>20</v>
      </c>
      <c r="D129" s="48">
        <f t="shared" si="7"/>
        <v>36000</v>
      </c>
      <c r="E129" s="5">
        <f>SUM('sav.f. 3 '!F117)</f>
        <v>36000</v>
      </c>
      <c r="F129" s="5"/>
      <c r="G129" s="48"/>
      <c r="H129" s="48"/>
      <c r="I129" s="69"/>
    </row>
    <row r="130" spans="1:9" ht="16.5" customHeight="1" x14ac:dyDescent="0.25">
      <c r="A130" s="82" t="s">
        <v>41</v>
      </c>
      <c r="B130" s="5" t="s">
        <v>8</v>
      </c>
      <c r="C130" s="5" t="s">
        <v>316</v>
      </c>
      <c r="D130" s="48">
        <f t="shared" si="7"/>
        <v>6883950</v>
      </c>
      <c r="E130" s="48">
        <f>223198-50788-110000</f>
        <v>62410</v>
      </c>
      <c r="F130" s="48">
        <f>SUM('Valst.f. 4'!F31:F32,'Valst.f. 4'!F62)</f>
        <v>1244970</v>
      </c>
      <c r="G130" s="48"/>
      <c r="H130" s="48">
        <f>7491000-883300+28-900000-131158</f>
        <v>5576570</v>
      </c>
      <c r="I130" s="69"/>
    </row>
    <row r="131" spans="1:9" ht="16.5" customHeight="1" x14ac:dyDescent="0.25">
      <c r="A131" s="82" t="s">
        <v>42</v>
      </c>
      <c r="B131" s="5" t="s">
        <v>8</v>
      </c>
      <c r="C131" s="5" t="s">
        <v>451</v>
      </c>
      <c r="D131" s="5">
        <f t="shared" si="7"/>
        <v>20313</v>
      </c>
      <c r="E131" s="5">
        <v>15000</v>
      </c>
      <c r="F131" s="5"/>
      <c r="G131" s="5"/>
      <c r="H131" s="5">
        <v>5313</v>
      </c>
      <c r="I131" s="69"/>
    </row>
    <row r="132" spans="1:9" ht="16.5" customHeight="1" x14ac:dyDescent="0.25">
      <c r="A132" s="82" t="s">
        <v>43</v>
      </c>
      <c r="B132" s="5" t="s">
        <v>8</v>
      </c>
      <c r="C132" s="5" t="s">
        <v>317</v>
      </c>
      <c r="D132" s="5">
        <f t="shared" si="7"/>
        <v>5000</v>
      </c>
      <c r="E132" s="5">
        <f>SUM('sav.f. 3 '!F122)</f>
        <v>5000</v>
      </c>
      <c r="F132" s="5"/>
      <c r="G132" s="5"/>
      <c r="H132" s="5"/>
      <c r="I132" s="69"/>
    </row>
    <row r="133" spans="1:9" ht="16.5" customHeight="1" x14ac:dyDescent="0.25">
      <c r="A133" s="82" t="s">
        <v>44</v>
      </c>
      <c r="B133" s="5" t="s">
        <v>8</v>
      </c>
      <c r="C133" s="111" t="s">
        <v>139</v>
      </c>
      <c r="D133" s="34">
        <f t="shared" si="7"/>
        <v>156156</v>
      </c>
      <c r="E133" s="112"/>
      <c r="F133" s="5">
        <f>SUM('Valst.f. 4'!F34,-'Valst.f. 4'!F35)</f>
        <v>156156</v>
      </c>
      <c r="G133" s="5"/>
      <c r="H133" s="5"/>
      <c r="I133" s="69"/>
    </row>
    <row r="134" spans="1:9" ht="31.5" customHeight="1" x14ac:dyDescent="0.25">
      <c r="A134" s="82" t="s">
        <v>45</v>
      </c>
      <c r="B134" s="72" t="s">
        <v>368</v>
      </c>
      <c r="C134" s="111" t="s">
        <v>139</v>
      </c>
      <c r="D134" s="34">
        <f t="shared" si="7"/>
        <v>31000</v>
      </c>
      <c r="E134" s="62"/>
      <c r="F134" s="5">
        <f>SUM('Valst.f. 4'!F36)</f>
        <v>31000</v>
      </c>
      <c r="G134" s="43"/>
      <c r="H134" s="43"/>
      <c r="I134" s="43"/>
    </row>
    <row r="135" spans="1:9" ht="31.5" customHeight="1" x14ac:dyDescent="0.25">
      <c r="A135" s="82" t="s">
        <v>46</v>
      </c>
      <c r="B135" s="55" t="s">
        <v>369</v>
      </c>
      <c r="C135" s="113" t="s">
        <v>139</v>
      </c>
      <c r="D135" s="34">
        <f t="shared" si="7"/>
        <v>45000</v>
      </c>
      <c r="E135" s="62"/>
      <c r="F135" s="5">
        <f>SUM('Valst.f. 4'!F37)</f>
        <v>45000</v>
      </c>
      <c r="G135" s="43"/>
      <c r="H135" s="43"/>
      <c r="I135" s="43"/>
    </row>
    <row r="136" spans="1:9" ht="30.75" customHeight="1" x14ac:dyDescent="0.25">
      <c r="A136" s="82" t="s">
        <v>47</v>
      </c>
      <c r="B136" s="55" t="s">
        <v>370</v>
      </c>
      <c r="C136" s="73" t="s">
        <v>139</v>
      </c>
      <c r="D136" s="34">
        <f t="shared" si="7"/>
        <v>1000</v>
      </c>
      <c r="E136" s="48"/>
      <c r="F136" s="5">
        <f>SUM('Valst.f. 4'!F38)</f>
        <v>1000</v>
      </c>
      <c r="G136" s="5"/>
      <c r="H136" s="5"/>
      <c r="I136" s="69"/>
    </row>
    <row r="137" spans="1:9" ht="31.5" customHeight="1" x14ac:dyDescent="0.25">
      <c r="A137" s="82" t="s">
        <v>48</v>
      </c>
      <c r="B137" s="55" t="s">
        <v>371</v>
      </c>
      <c r="C137" s="111" t="s">
        <v>139</v>
      </c>
      <c r="D137" s="34">
        <f t="shared" si="7"/>
        <v>6500</v>
      </c>
      <c r="E137" s="62"/>
      <c r="F137" s="5">
        <f>SUM('Valst.f. 4'!F39)</f>
        <v>6500</v>
      </c>
      <c r="G137" s="43"/>
      <c r="H137" s="43"/>
      <c r="I137" s="43"/>
    </row>
    <row r="138" spans="1:9" ht="17.25" customHeight="1" x14ac:dyDescent="0.25">
      <c r="A138" s="82" t="s">
        <v>49</v>
      </c>
      <c r="B138" s="55" t="s">
        <v>372</v>
      </c>
      <c r="C138" s="73" t="s">
        <v>139</v>
      </c>
      <c r="D138" s="34">
        <f t="shared" si="7"/>
        <v>39000</v>
      </c>
      <c r="E138" s="48"/>
      <c r="F138" s="5">
        <f>SUM('Valst.f. 4'!F40)</f>
        <v>39000</v>
      </c>
      <c r="G138" s="5"/>
      <c r="H138" s="5"/>
      <c r="I138" s="69"/>
    </row>
    <row r="139" spans="1:9" ht="17.25" customHeight="1" x14ac:dyDescent="0.25">
      <c r="A139" s="82" t="s">
        <v>50</v>
      </c>
      <c r="B139" s="55" t="s">
        <v>373</v>
      </c>
      <c r="C139" s="73" t="s">
        <v>139</v>
      </c>
      <c r="D139" s="34">
        <f t="shared" si="7"/>
        <v>22000</v>
      </c>
      <c r="E139" s="5"/>
      <c r="F139" s="5">
        <f>SUM('Valst.f. 4'!F41)</f>
        <v>22000</v>
      </c>
      <c r="G139" s="5"/>
      <c r="H139" s="5"/>
      <c r="I139" s="69"/>
    </row>
    <row r="140" spans="1:9" ht="34.5" customHeight="1" x14ac:dyDescent="0.25">
      <c r="A140" s="82" t="s">
        <v>51</v>
      </c>
      <c r="B140" s="55" t="s">
        <v>374</v>
      </c>
      <c r="C140" s="68" t="s">
        <v>139</v>
      </c>
      <c r="D140" s="5">
        <f t="shared" si="7"/>
        <v>53000</v>
      </c>
      <c r="E140" s="43"/>
      <c r="F140" s="5">
        <f>SUM('Valst.f. 4'!F42)</f>
        <v>53000</v>
      </c>
      <c r="G140" s="43"/>
      <c r="H140" s="43"/>
      <c r="I140" s="43"/>
    </row>
    <row r="141" spans="1:9" ht="17.25" customHeight="1" x14ac:dyDescent="0.25">
      <c r="A141" s="82" t="s">
        <v>52</v>
      </c>
      <c r="B141" s="74" t="s">
        <v>375</v>
      </c>
      <c r="C141" s="73" t="s">
        <v>139</v>
      </c>
      <c r="D141" s="34">
        <f t="shared" si="7"/>
        <v>35000</v>
      </c>
      <c r="E141" s="5"/>
      <c r="F141" s="5">
        <f>SUM('Valst.f. 4'!F43)</f>
        <v>35000</v>
      </c>
      <c r="G141" s="48"/>
      <c r="H141" s="48"/>
      <c r="I141" s="69"/>
    </row>
    <row r="142" spans="1:9" ht="17.25" customHeight="1" x14ac:dyDescent="0.25">
      <c r="A142" s="82" t="s">
        <v>53</v>
      </c>
      <c r="B142" s="74" t="s">
        <v>376</v>
      </c>
      <c r="C142" s="58" t="s">
        <v>139</v>
      </c>
      <c r="D142" s="34">
        <f t="shared" si="7"/>
        <v>46000</v>
      </c>
      <c r="E142" s="5"/>
      <c r="F142" s="5">
        <f>SUM('Valst.f. 4'!F44)</f>
        <v>46000</v>
      </c>
      <c r="G142" s="48"/>
      <c r="H142" s="48"/>
      <c r="I142" s="69"/>
    </row>
    <row r="143" spans="1:9" ht="17.25" customHeight="1" x14ac:dyDescent="0.25">
      <c r="A143" s="82" t="s">
        <v>54</v>
      </c>
      <c r="B143" s="74" t="s">
        <v>377</v>
      </c>
      <c r="C143" s="73" t="s">
        <v>139</v>
      </c>
      <c r="D143" s="48">
        <f t="shared" si="7"/>
        <v>46000</v>
      </c>
      <c r="E143" s="5"/>
      <c r="F143" s="5">
        <f>SUM('Valst.f. 4'!F45)</f>
        <v>46000</v>
      </c>
      <c r="G143" s="48"/>
      <c r="H143" s="48"/>
      <c r="I143" s="69"/>
    </row>
    <row r="144" spans="1:9" ht="17.25" customHeight="1" x14ac:dyDescent="0.25">
      <c r="A144" s="82" t="s">
        <v>55</v>
      </c>
      <c r="B144" s="5" t="s">
        <v>378</v>
      </c>
      <c r="C144" s="73" t="s">
        <v>139</v>
      </c>
      <c r="D144" s="5">
        <f t="shared" si="7"/>
        <v>62000</v>
      </c>
      <c r="E144" s="5"/>
      <c r="F144" s="5">
        <f>SUM('Valst.f. 4'!F46)</f>
        <v>62000</v>
      </c>
      <c r="G144" s="48"/>
      <c r="H144" s="48"/>
      <c r="I144" s="69"/>
    </row>
    <row r="145" spans="1:9" ht="17.25" customHeight="1" x14ac:dyDescent="0.25">
      <c r="A145" s="82" t="s">
        <v>56</v>
      </c>
      <c r="B145" s="5" t="s">
        <v>379</v>
      </c>
      <c r="C145" s="58" t="s">
        <v>139</v>
      </c>
      <c r="D145" s="48">
        <f t="shared" si="7"/>
        <v>53000</v>
      </c>
      <c r="E145" s="5"/>
      <c r="F145" s="5">
        <f>SUM('Valst.f. 4'!F47)</f>
        <v>53000</v>
      </c>
      <c r="G145" s="48"/>
      <c r="H145" s="48"/>
      <c r="I145" s="69"/>
    </row>
    <row r="146" spans="1:9" ht="17.25" customHeight="1" x14ac:dyDescent="0.25">
      <c r="A146" s="82" t="s">
        <v>57</v>
      </c>
      <c r="B146" s="5" t="s">
        <v>323</v>
      </c>
      <c r="C146" s="73" t="s">
        <v>139</v>
      </c>
      <c r="D146" s="34">
        <f t="shared" si="7"/>
        <v>92000</v>
      </c>
      <c r="E146" s="5"/>
      <c r="F146" s="5">
        <f>SUM('Valst.f. 4'!F48)</f>
        <v>92000</v>
      </c>
      <c r="G146" s="48"/>
      <c r="H146" s="48"/>
      <c r="I146" s="69"/>
    </row>
    <row r="147" spans="1:9" ht="32.25" customHeight="1" x14ac:dyDescent="0.25">
      <c r="A147" s="82" t="s">
        <v>58</v>
      </c>
      <c r="B147" s="55" t="s">
        <v>381</v>
      </c>
      <c r="C147" s="73" t="s">
        <v>139</v>
      </c>
      <c r="D147" s="34">
        <f t="shared" si="7"/>
        <v>120000</v>
      </c>
      <c r="E147" s="5"/>
      <c r="F147" s="5">
        <f>SUM('Valst.f. 4'!F49)</f>
        <v>120000</v>
      </c>
      <c r="G147" s="48"/>
      <c r="H147" s="48"/>
      <c r="I147" s="69"/>
    </row>
    <row r="148" spans="1:9" ht="33.75" customHeight="1" x14ac:dyDescent="0.25">
      <c r="A148" s="82" t="s">
        <v>59</v>
      </c>
      <c r="B148" s="55" t="s">
        <v>380</v>
      </c>
      <c r="C148" s="73" t="s">
        <v>139</v>
      </c>
      <c r="D148" s="34">
        <f>SUM(E148:I148)</f>
        <v>162000</v>
      </c>
      <c r="E148" s="5"/>
      <c r="F148" s="5">
        <f>SUM('Valst.f. 4'!F50)</f>
        <v>162000</v>
      </c>
      <c r="G148" s="48"/>
      <c r="H148" s="48"/>
      <c r="I148" s="69"/>
    </row>
    <row r="149" spans="1:9" ht="21" customHeight="1" x14ac:dyDescent="0.25">
      <c r="A149" s="292" t="s">
        <v>202</v>
      </c>
      <c r="B149" s="292"/>
      <c r="C149" s="292"/>
      <c r="D149" s="99">
        <f>SUM(E149:I149)</f>
        <v>10584859</v>
      </c>
      <c r="E149" s="99">
        <f>SUM(E126:E148)</f>
        <v>1053097</v>
      </c>
      <c r="F149" s="99">
        <f>SUM(F126:F148)</f>
        <v>3597926</v>
      </c>
      <c r="G149" s="99">
        <f>SUM(G126:G148)</f>
        <v>0</v>
      </c>
      <c r="H149" s="99">
        <f>SUM(H126:H148)</f>
        <v>5845836</v>
      </c>
      <c r="I149" s="50">
        <f>SUM(I126:I148)</f>
        <v>88000</v>
      </c>
    </row>
    <row r="150" spans="1:9" ht="24.75" customHeight="1" x14ac:dyDescent="0.25">
      <c r="A150" s="292" t="s">
        <v>228</v>
      </c>
      <c r="B150" s="292"/>
      <c r="C150" s="292"/>
      <c r="D150" s="128">
        <f>SUM(D21,D26,D30,D35,D38,D41,D44,D66,D69,D72,D76,D82,D94,D100,D124,D149)</f>
        <v>70781410</v>
      </c>
      <c r="E150" s="128">
        <f>SUM(E21,E26,E30,E35,E38,E44,E66,E69,E72,E76,E82,E94,E100,E124,E149)</f>
        <v>39595713</v>
      </c>
      <c r="F150" s="99">
        <f>SUM(F21+F26+F30+F35+F38+F41+F44+F66+F149,F94,F124,F82)</f>
        <v>9267786</v>
      </c>
      <c r="G150" s="99">
        <f>SUM(,G124,G94)</f>
        <v>13804000</v>
      </c>
      <c r="H150" s="128">
        <f>SUM(H149,H124,H100,H94,H82,H72,H66,H44,H21)</f>
        <v>7566000</v>
      </c>
      <c r="I150" s="117">
        <f>SUM(I149,I124,I94,Spec.7!G26)</f>
        <v>547911</v>
      </c>
    </row>
  </sheetData>
  <mergeCells count="49">
    <mergeCell ref="B6:I6"/>
    <mergeCell ref="A73:I73"/>
    <mergeCell ref="D2:G2"/>
    <mergeCell ref="A14:I14"/>
    <mergeCell ref="A66:C66"/>
    <mergeCell ref="A69:C69"/>
    <mergeCell ref="A72:C72"/>
    <mergeCell ref="C9:C13"/>
    <mergeCell ref="E10:E13"/>
    <mergeCell ref="F10:G10"/>
    <mergeCell ref="B8:I8"/>
    <mergeCell ref="I10:I13"/>
    <mergeCell ref="B9:B13"/>
    <mergeCell ref="D9:D13"/>
    <mergeCell ref="E9:I9"/>
    <mergeCell ref="F11:F13"/>
    <mergeCell ref="G11:G13"/>
    <mergeCell ref="A27:I27"/>
    <mergeCell ref="B7:I7"/>
    <mergeCell ref="A30:C30"/>
    <mergeCell ref="A9:A13"/>
    <mergeCell ref="H10:H13"/>
    <mergeCell ref="A125:I125"/>
    <mergeCell ref="A39:I39"/>
    <mergeCell ref="A38:C38"/>
    <mergeCell ref="A22:I22"/>
    <mergeCell ref="A101:I101"/>
    <mergeCell ref="A45:I45"/>
    <mergeCell ref="A67:I67"/>
    <mergeCell ref="A31:I31"/>
    <mergeCell ref="A35:C35"/>
    <mergeCell ref="A36:I36"/>
    <mergeCell ref="A124:C124"/>
    <mergeCell ref="D1:F1"/>
    <mergeCell ref="A44:C44"/>
    <mergeCell ref="A150:C150"/>
    <mergeCell ref="A82:C82"/>
    <mergeCell ref="A83:I83"/>
    <mergeCell ref="A94:C94"/>
    <mergeCell ref="A95:I95"/>
    <mergeCell ref="A149:C149"/>
    <mergeCell ref="A100:C100"/>
    <mergeCell ref="A76:C76"/>
    <mergeCell ref="A77:I77"/>
    <mergeCell ref="A70:I70"/>
    <mergeCell ref="A41:C41"/>
    <mergeCell ref="A42:I42"/>
    <mergeCell ref="A21:C21"/>
    <mergeCell ref="A26:C26"/>
  </mergeCells>
  <phoneticPr fontId="0" type="noConversion"/>
  <pageMargins left="0" right="0" top="0.39370078740157483" bottom="0" header="0.51181102362204722" footer="0.51181102362204722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K20" sqref="K20"/>
    </sheetView>
  </sheetViews>
  <sheetFormatPr defaultRowHeight="12.75" x14ac:dyDescent="0.2"/>
  <cols>
    <col min="1" max="1" width="6.5703125" customWidth="1"/>
    <col min="2" max="2" width="6.28515625" customWidth="1"/>
    <col min="3" max="3" width="7.28515625" customWidth="1"/>
    <col min="4" max="4" width="38" customWidth="1"/>
    <col min="5" max="6" width="8.42578125" customWidth="1"/>
    <col min="7" max="7" width="7" customWidth="1"/>
    <col min="8" max="8" width="7.5703125" customWidth="1"/>
    <col min="257" max="257" width="6.5703125" customWidth="1"/>
    <col min="258" max="258" width="6.28515625" customWidth="1"/>
    <col min="259" max="259" width="7.28515625" customWidth="1"/>
    <col min="260" max="260" width="43" customWidth="1"/>
    <col min="262" max="262" width="8.42578125" customWidth="1"/>
    <col min="264" max="264" width="7.5703125" customWidth="1"/>
    <col min="513" max="513" width="6.5703125" customWidth="1"/>
    <col min="514" max="514" width="6.28515625" customWidth="1"/>
    <col min="515" max="515" width="7.28515625" customWidth="1"/>
    <col min="516" max="516" width="43" customWidth="1"/>
    <col min="518" max="518" width="8.42578125" customWidth="1"/>
    <col min="520" max="520" width="7.5703125" customWidth="1"/>
    <col min="769" max="769" width="6.5703125" customWidth="1"/>
    <col min="770" max="770" width="6.28515625" customWidth="1"/>
    <col min="771" max="771" width="7.28515625" customWidth="1"/>
    <col min="772" max="772" width="43" customWidth="1"/>
    <col min="774" max="774" width="8.42578125" customWidth="1"/>
    <col min="776" max="776" width="7.5703125" customWidth="1"/>
    <col min="1025" max="1025" width="6.5703125" customWidth="1"/>
    <col min="1026" max="1026" width="6.28515625" customWidth="1"/>
    <col min="1027" max="1027" width="7.28515625" customWidth="1"/>
    <col min="1028" max="1028" width="43" customWidth="1"/>
    <col min="1030" max="1030" width="8.42578125" customWidth="1"/>
    <col min="1032" max="1032" width="7.5703125" customWidth="1"/>
    <col min="1281" max="1281" width="6.5703125" customWidth="1"/>
    <col min="1282" max="1282" width="6.28515625" customWidth="1"/>
    <col min="1283" max="1283" width="7.28515625" customWidth="1"/>
    <col min="1284" max="1284" width="43" customWidth="1"/>
    <col min="1286" max="1286" width="8.42578125" customWidth="1"/>
    <col min="1288" max="1288" width="7.5703125" customWidth="1"/>
    <col min="1537" max="1537" width="6.5703125" customWidth="1"/>
    <col min="1538" max="1538" width="6.28515625" customWidth="1"/>
    <col min="1539" max="1539" width="7.28515625" customWidth="1"/>
    <col min="1540" max="1540" width="43" customWidth="1"/>
    <col min="1542" max="1542" width="8.42578125" customWidth="1"/>
    <col min="1544" max="1544" width="7.5703125" customWidth="1"/>
    <col min="1793" max="1793" width="6.5703125" customWidth="1"/>
    <col min="1794" max="1794" width="6.28515625" customWidth="1"/>
    <col min="1795" max="1795" width="7.28515625" customWidth="1"/>
    <col min="1796" max="1796" width="43" customWidth="1"/>
    <col min="1798" max="1798" width="8.42578125" customWidth="1"/>
    <col min="1800" max="1800" width="7.5703125" customWidth="1"/>
    <col min="2049" max="2049" width="6.5703125" customWidth="1"/>
    <col min="2050" max="2050" width="6.28515625" customWidth="1"/>
    <col min="2051" max="2051" width="7.28515625" customWidth="1"/>
    <col min="2052" max="2052" width="43" customWidth="1"/>
    <col min="2054" max="2054" width="8.42578125" customWidth="1"/>
    <col min="2056" max="2056" width="7.5703125" customWidth="1"/>
    <col min="2305" max="2305" width="6.5703125" customWidth="1"/>
    <col min="2306" max="2306" width="6.28515625" customWidth="1"/>
    <col min="2307" max="2307" width="7.28515625" customWidth="1"/>
    <col min="2308" max="2308" width="43" customWidth="1"/>
    <col min="2310" max="2310" width="8.42578125" customWidth="1"/>
    <col min="2312" max="2312" width="7.5703125" customWidth="1"/>
    <col min="2561" max="2561" width="6.5703125" customWidth="1"/>
    <col min="2562" max="2562" width="6.28515625" customWidth="1"/>
    <col min="2563" max="2563" width="7.28515625" customWidth="1"/>
    <col min="2564" max="2564" width="43" customWidth="1"/>
    <col min="2566" max="2566" width="8.42578125" customWidth="1"/>
    <col min="2568" max="2568" width="7.5703125" customWidth="1"/>
    <col min="2817" max="2817" width="6.5703125" customWidth="1"/>
    <col min="2818" max="2818" width="6.28515625" customWidth="1"/>
    <col min="2819" max="2819" width="7.28515625" customWidth="1"/>
    <col min="2820" max="2820" width="43" customWidth="1"/>
    <col min="2822" max="2822" width="8.42578125" customWidth="1"/>
    <col min="2824" max="2824" width="7.5703125" customWidth="1"/>
    <col min="3073" max="3073" width="6.5703125" customWidth="1"/>
    <col min="3074" max="3074" width="6.28515625" customWidth="1"/>
    <col min="3075" max="3075" width="7.28515625" customWidth="1"/>
    <col min="3076" max="3076" width="43" customWidth="1"/>
    <col min="3078" max="3078" width="8.42578125" customWidth="1"/>
    <col min="3080" max="3080" width="7.5703125" customWidth="1"/>
    <col min="3329" max="3329" width="6.5703125" customWidth="1"/>
    <col min="3330" max="3330" width="6.28515625" customWidth="1"/>
    <col min="3331" max="3331" width="7.28515625" customWidth="1"/>
    <col min="3332" max="3332" width="43" customWidth="1"/>
    <col min="3334" max="3334" width="8.42578125" customWidth="1"/>
    <col min="3336" max="3336" width="7.5703125" customWidth="1"/>
    <col min="3585" max="3585" width="6.5703125" customWidth="1"/>
    <col min="3586" max="3586" width="6.28515625" customWidth="1"/>
    <col min="3587" max="3587" width="7.28515625" customWidth="1"/>
    <col min="3588" max="3588" width="43" customWidth="1"/>
    <col min="3590" max="3590" width="8.42578125" customWidth="1"/>
    <col min="3592" max="3592" width="7.5703125" customWidth="1"/>
    <col min="3841" max="3841" width="6.5703125" customWidth="1"/>
    <col min="3842" max="3842" width="6.28515625" customWidth="1"/>
    <col min="3843" max="3843" width="7.28515625" customWidth="1"/>
    <col min="3844" max="3844" width="43" customWidth="1"/>
    <col min="3846" max="3846" width="8.42578125" customWidth="1"/>
    <col min="3848" max="3848" width="7.5703125" customWidth="1"/>
    <col min="4097" max="4097" width="6.5703125" customWidth="1"/>
    <col min="4098" max="4098" width="6.28515625" customWidth="1"/>
    <col min="4099" max="4099" width="7.28515625" customWidth="1"/>
    <col min="4100" max="4100" width="43" customWidth="1"/>
    <col min="4102" max="4102" width="8.42578125" customWidth="1"/>
    <col min="4104" max="4104" width="7.5703125" customWidth="1"/>
    <col min="4353" max="4353" width="6.5703125" customWidth="1"/>
    <col min="4354" max="4354" width="6.28515625" customWidth="1"/>
    <col min="4355" max="4355" width="7.28515625" customWidth="1"/>
    <col min="4356" max="4356" width="43" customWidth="1"/>
    <col min="4358" max="4358" width="8.42578125" customWidth="1"/>
    <col min="4360" max="4360" width="7.5703125" customWidth="1"/>
    <col min="4609" max="4609" width="6.5703125" customWidth="1"/>
    <col min="4610" max="4610" width="6.28515625" customWidth="1"/>
    <col min="4611" max="4611" width="7.28515625" customWidth="1"/>
    <col min="4612" max="4612" width="43" customWidth="1"/>
    <col min="4614" max="4614" width="8.42578125" customWidth="1"/>
    <col min="4616" max="4616" width="7.5703125" customWidth="1"/>
    <col min="4865" max="4865" width="6.5703125" customWidth="1"/>
    <col min="4866" max="4866" width="6.28515625" customWidth="1"/>
    <col min="4867" max="4867" width="7.28515625" customWidth="1"/>
    <col min="4868" max="4868" width="43" customWidth="1"/>
    <col min="4870" max="4870" width="8.42578125" customWidth="1"/>
    <col min="4872" max="4872" width="7.5703125" customWidth="1"/>
    <col min="5121" max="5121" width="6.5703125" customWidth="1"/>
    <col min="5122" max="5122" width="6.28515625" customWidth="1"/>
    <col min="5123" max="5123" width="7.28515625" customWidth="1"/>
    <col min="5124" max="5124" width="43" customWidth="1"/>
    <col min="5126" max="5126" width="8.42578125" customWidth="1"/>
    <col min="5128" max="5128" width="7.5703125" customWidth="1"/>
    <col min="5377" max="5377" width="6.5703125" customWidth="1"/>
    <col min="5378" max="5378" width="6.28515625" customWidth="1"/>
    <col min="5379" max="5379" width="7.28515625" customWidth="1"/>
    <col min="5380" max="5380" width="43" customWidth="1"/>
    <col min="5382" max="5382" width="8.42578125" customWidth="1"/>
    <col min="5384" max="5384" width="7.5703125" customWidth="1"/>
    <col min="5633" max="5633" width="6.5703125" customWidth="1"/>
    <col min="5634" max="5634" width="6.28515625" customWidth="1"/>
    <col min="5635" max="5635" width="7.28515625" customWidth="1"/>
    <col min="5636" max="5636" width="43" customWidth="1"/>
    <col min="5638" max="5638" width="8.42578125" customWidth="1"/>
    <col min="5640" max="5640" width="7.5703125" customWidth="1"/>
    <col min="5889" max="5889" width="6.5703125" customWidth="1"/>
    <col min="5890" max="5890" width="6.28515625" customWidth="1"/>
    <col min="5891" max="5891" width="7.28515625" customWidth="1"/>
    <col min="5892" max="5892" width="43" customWidth="1"/>
    <col min="5894" max="5894" width="8.42578125" customWidth="1"/>
    <col min="5896" max="5896" width="7.5703125" customWidth="1"/>
    <col min="6145" max="6145" width="6.5703125" customWidth="1"/>
    <col min="6146" max="6146" width="6.28515625" customWidth="1"/>
    <col min="6147" max="6147" width="7.28515625" customWidth="1"/>
    <col min="6148" max="6148" width="43" customWidth="1"/>
    <col min="6150" max="6150" width="8.42578125" customWidth="1"/>
    <col min="6152" max="6152" width="7.5703125" customWidth="1"/>
    <col min="6401" max="6401" width="6.5703125" customWidth="1"/>
    <col min="6402" max="6402" width="6.28515625" customWidth="1"/>
    <col min="6403" max="6403" width="7.28515625" customWidth="1"/>
    <col min="6404" max="6404" width="43" customWidth="1"/>
    <col min="6406" max="6406" width="8.42578125" customWidth="1"/>
    <col min="6408" max="6408" width="7.5703125" customWidth="1"/>
    <col min="6657" max="6657" width="6.5703125" customWidth="1"/>
    <col min="6658" max="6658" width="6.28515625" customWidth="1"/>
    <col min="6659" max="6659" width="7.28515625" customWidth="1"/>
    <col min="6660" max="6660" width="43" customWidth="1"/>
    <col min="6662" max="6662" width="8.42578125" customWidth="1"/>
    <col min="6664" max="6664" width="7.5703125" customWidth="1"/>
    <col min="6913" max="6913" width="6.5703125" customWidth="1"/>
    <col min="6914" max="6914" width="6.28515625" customWidth="1"/>
    <col min="6915" max="6915" width="7.28515625" customWidth="1"/>
    <col min="6916" max="6916" width="43" customWidth="1"/>
    <col min="6918" max="6918" width="8.42578125" customWidth="1"/>
    <col min="6920" max="6920" width="7.5703125" customWidth="1"/>
    <col min="7169" max="7169" width="6.5703125" customWidth="1"/>
    <col min="7170" max="7170" width="6.28515625" customWidth="1"/>
    <col min="7171" max="7171" width="7.28515625" customWidth="1"/>
    <col min="7172" max="7172" width="43" customWidth="1"/>
    <col min="7174" max="7174" width="8.42578125" customWidth="1"/>
    <col min="7176" max="7176" width="7.5703125" customWidth="1"/>
    <col min="7425" max="7425" width="6.5703125" customWidth="1"/>
    <col min="7426" max="7426" width="6.28515625" customWidth="1"/>
    <col min="7427" max="7427" width="7.28515625" customWidth="1"/>
    <col min="7428" max="7428" width="43" customWidth="1"/>
    <col min="7430" max="7430" width="8.42578125" customWidth="1"/>
    <col min="7432" max="7432" width="7.5703125" customWidth="1"/>
    <col min="7681" max="7681" width="6.5703125" customWidth="1"/>
    <col min="7682" max="7682" width="6.28515625" customWidth="1"/>
    <col min="7683" max="7683" width="7.28515625" customWidth="1"/>
    <col min="7684" max="7684" width="43" customWidth="1"/>
    <col min="7686" max="7686" width="8.42578125" customWidth="1"/>
    <col min="7688" max="7688" width="7.5703125" customWidth="1"/>
    <col min="7937" max="7937" width="6.5703125" customWidth="1"/>
    <col min="7938" max="7938" width="6.28515625" customWidth="1"/>
    <col min="7939" max="7939" width="7.28515625" customWidth="1"/>
    <col min="7940" max="7940" width="43" customWidth="1"/>
    <col min="7942" max="7942" width="8.42578125" customWidth="1"/>
    <col min="7944" max="7944" width="7.5703125" customWidth="1"/>
    <col min="8193" max="8193" width="6.5703125" customWidth="1"/>
    <col min="8194" max="8194" width="6.28515625" customWidth="1"/>
    <col min="8195" max="8195" width="7.28515625" customWidth="1"/>
    <col min="8196" max="8196" width="43" customWidth="1"/>
    <col min="8198" max="8198" width="8.42578125" customWidth="1"/>
    <col min="8200" max="8200" width="7.5703125" customWidth="1"/>
    <col min="8449" max="8449" width="6.5703125" customWidth="1"/>
    <col min="8450" max="8450" width="6.28515625" customWidth="1"/>
    <col min="8451" max="8451" width="7.28515625" customWidth="1"/>
    <col min="8452" max="8452" width="43" customWidth="1"/>
    <col min="8454" max="8454" width="8.42578125" customWidth="1"/>
    <col min="8456" max="8456" width="7.5703125" customWidth="1"/>
    <col min="8705" max="8705" width="6.5703125" customWidth="1"/>
    <col min="8706" max="8706" width="6.28515625" customWidth="1"/>
    <col min="8707" max="8707" width="7.28515625" customWidth="1"/>
    <col min="8708" max="8708" width="43" customWidth="1"/>
    <col min="8710" max="8710" width="8.42578125" customWidth="1"/>
    <col min="8712" max="8712" width="7.5703125" customWidth="1"/>
    <col min="8961" max="8961" width="6.5703125" customWidth="1"/>
    <col min="8962" max="8962" width="6.28515625" customWidth="1"/>
    <col min="8963" max="8963" width="7.28515625" customWidth="1"/>
    <col min="8964" max="8964" width="43" customWidth="1"/>
    <col min="8966" max="8966" width="8.42578125" customWidth="1"/>
    <col min="8968" max="8968" width="7.5703125" customWidth="1"/>
    <col min="9217" max="9217" width="6.5703125" customWidth="1"/>
    <col min="9218" max="9218" width="6.28515625" customWidth="1"/>
    <col min="9219" max="9219" width="7.28515625" customWidth="1"/>
    <col min="9220" max="9220" width="43" customWidth="1"/>
    <col min="9222" max="9222" width="8.42578125" customWidth="1"/>
    <col min="9224" max="9224" width="7.5703125" customWidth="1"/>
    <col min="9473" max="9473" width="6.5703125" customWidth="1"/>
    <col min="9474" max="9474" width="6.28515625" customWidth="1"/>
    <col min="9475" max="9475" width="7.28515625" customWidth="1"/>
    <col min="9476" max="9476" width="43" customWidth="1"/>
    <col min="9478" max="9478" width="8.42578125" customWidth="1"/>
    <col min="9480" max="9480" width="7.5703125" customWidth="1"/>
    <col min="9729" max="9729" width="6.5703125" customWidth="1"/>
    <col min="9730" max="9730" width="6.28515625" customWidth="1"/>
    <col min="9731" max="9731" width="7.28515625" customWidth="1"/>
    <col min="9732" max="9732" width="43" customWidth="1"/>
    <col min="9734" max="9734" width="8.42578125" customWidth="1"/>
    <col min="9736" max="9736" width="7.5703125" customWidth="1"/>
    <col min="9985" max="9985" width="6.5703125" customWidth="1"/>
    <col min="9986" max="9986" width="6.28515625" customWidth="1"/>
    <col min="9987" max="9987" width="7.28515625" customWidth="1"/>
    <col min="9988" max="9988" width="43" customWidth="1"/>
    <col min="9990" max="9990" width="8.42578125" customWidth="1"/>
    <col min="9992" max="9992" width="7.5703125" customWidth="1"/>
    <col min="10241" max="10241" width="6.5703125" customWidth="1"/>
    <col min="10242" max="10242" width="6.28515625" customWidth="1"/>
    <col min="10243" max="10243" width="7.28515625" customWidth="1"/>
    <col min="10244" max="10244" width="43" customWidth="1"/>
    <col min="10246" max="10246" width="8.42578125" customWidth="1"/>
    <col min="10248" max="10248" width="7.5703125" customWidth="1"/>
    <col min="10497" max="10497" width="6.5703125" customWidth="1"/>
    <col min="10498" max="10498" width="6.28515625" customWidth="1"/>
    <col min="10499" max="10499" width="7.28515625" customWidth="1"/>
    <col min="10500" max="10500" width="43" customWidth="1"/>
    <col min="10502" max="10502" width="8.42578125" customWidth="1"/>
    <col min="10504" max="10504" width="7.5703125" customWidth="1"/>
    <col min="10753" max="10753" width="6.5703125" customWidth="1"/>
    <col min="10754" max="10754" width="6.28515625" customWidth="1"/>
    <col min="10755" max="10755" width="7.28515625" customWidth="1"/>
    <col min="10756" max="10756" width="43" customWidth="1"/>
    <col min="10758" max="10758" width="8.42578125" customWidth="1"/>
    <col min="10760" max="10760" width="7.5703125" customWidth="1"/>
    <col min="11009" max="11009" width="6.5703125" customWidth="1"/>
    <col min="11010" max="11010" width="6.28515625" customWidth="1"/>
    <col min="11011" max="11011" width="7.28515625" customWidth="1"/>
    <col min="11012" max="11012" width="43" customWidth="1"/>
    <col min="11014" max="11014" width="8.42578125" customWidth="1"/>
    <col min="11016" max="11016" width="7.5703125" customWidth="1"/>
    <col min="11265" max="11265" width="6.5703125" customWidth="1"/>
    <col min="11266" max="11266" width="6.28515625" customWidth="1"/>
    <col min="11267" max="11267" width="7.28515625" customWidth="1"/>
    <col min="11268" max="11268" width="43" customWidth="1"/>
    <col min="11270" max="11270" width="8.42578125" customWidth="1"/>
    <col min="11272" max="11272" width="7.5703125" customWidth="1"/>
    <col min="11521" max="11521" width="6.5703125" customWidth="1"/>
    <col min="11522" max="11522" width="6.28515625" customWidth="1"/>
    <col min="11523" max="11523" width="7.28515625" customWidth="1"/>
    <col min="11524" max="11524" width="43" customWidth="1"/>
    <col min="11526" max="11526" width="8.42578125" customWidth="1"/>
    <col min="11528" max="11528" width="7.5703125" customWidth="1"/>
    <col min="11777" max="11777" width="6.5703125" customWidth="1"/>
    <col min="11778" max="11778" width="6.28515625" customWidth="1"/>
    <col min="11779" max="11779" width="7.28515625" customWidth="1"/>
    <col min="11780" max="11780" width="43" customWidth="1"/>
    <col min="11782" max="11782" width="8.42578125" customWidth="1"/>
    <col min="11784" max="11784" width="7.5703125" customWidth="1"/>
    <col min="12033" max="12033" width="6.5703125" customWidth="1"/>
    <col min="12034" max="12034" width="6.28515625" customWidth="1"/>
    <col min="12035" max="12035" width="7.28515625" customWidth="1"/>
    <col min="12036" max="12036" width="43" customWidth="1"/>
    <col min="12038" max="12038" width="8.42578125" customWidth="1"/>
    <col min="12040" max="12040" width="7.5703125" customWidth="1"/>
    <col min="12289" max="12289" width="6.5703125" customWidth="1"/>
    <col min="12290" max="12290" width="6.28515625" customWidth="1"/>
    <col min="12291" max="12291" width="7.28515625" customWidth="1"/>
    <col min="12292" max="12292" width="43" customWidth="1"/>
    <col min="12294" max="12294" width="8.42578125" customWidth="1"/>
    <col min="12296" max="12296" width="7.5703125" customWidth="1"/>
    <col min="12545" max="12545" width="6.5703125" customWidth="1"/>
    <col min="12546" max="12546" width="6.28515625" customWidth="1"/>
    <col min="12547" max="12547" width="7.28515625" customWidth="1"/>
    <col min="12548" max="12548" width="43" customWidth="1"/>
    <col min="12550" max="12550" width="8.42578125" customWidth="1"/>
    <col min="12552" max="12552" width="7.5703125" customWidth="1"/>
    <col min="12801" max="12801" width="6.5703125" customWidth="1"/>
    <col min="12802" max="12802" width="6.28515625" customWidth="1"/>
    <col min="12803" max="12803" width="7.28515625" customWidth="1"/>
    <col min="12804" max="12804" width="43" customWidth="1"/>
    <col min="12806" max="12806" width="8.42578125" customWidth="1"/>
    <col min="12808" max="12808" width="7.5703125" customWidth="1"/>
    <col min="13057" max="13057" width="6.5703125" customWidth="1"/>
    <col min="13058" max="13058" width="6.28515625" customWidth="1"/>
    <col min="13059" max="13059" width="7.28515625" customWidth="1"/>
    <col min="13060" max="13060" width="43" customWidth="1"/>
    <col min="13062" max="13062" width="8.42578125" customWidth="1"/>
    <col min="13064" max="13064" width="7.5703125" customWidth="1"/>
    <col min="13313" max="13313" width="6.5703125" customWidth="1"/>
    <col min="13314" max="13314" width="6.28515625" customWidth="1"/>
    <col min="13315" max="13315" width="7.28515625" customWidth="1"/>
    <col min="13316" max="13316" width="43" customWidth="1"/>
    <col min="13318" max="13318" width="8.42578125" customWidth="1"/>
    <col min="13320" max="13320" width="7.5703125" customWidth="1"/>
    <col min="13569" max="13569" width="6.5703125" customWidth="1"/>
    <col min="13570" max="13570" width="6.28515625" customWidth="1"/>
    <col min="13571" max="13571" width="7.28515625" customWidth="1"/>
    <col min="13572" max="13572" width="43" customWidth="1"/>
    <col min="13574" max="13574" width="8.42578125" customWidth="1"/>
    <col min="13576" max="13576" width="7.5703125" customWidth="1"/>
    <col min="13825" max="13825" width="6.5703125" customWidth="1"/>
    <col min="13826" max="13826" width="6.28515625" customWidth="1"/>
    <col min="13827" max="13827" width="7.28515625" customWidth="1"/>
    <col min="13828" max="13828" width="43" customWidth="1"/>
    <col min="13830" max="13830" width="8.42578125" customWidth="1"/>
    <col min="13832" max="13832" width="7.5703125" customWidth="1"/>
    <col min="14081" max="14081" width="6.5703125" customWidth="1"/>
    <col min="14082" max="14082" width="6.28515625" customWidth="1"/>
    <col min="14083" max="14083" width="7.28515625" customWidth="1"/>
    <col min="14084" max="14084" width="43" customWidth="1"/>
    <col min="14086" max="14086" width="8.42578125" customWidth="1"/>
    <col min="14088" max="14088" width="7.5703125" customWidth="1"/>
    <col min="14337" max="14337" width="6.5703125" customWidth="1"/>
    <col min="14338" max="14338" width="6.28515625" customWidth="1"/>
    <col min="14339" max="14339" width="7.28515625" customWidth="1"/>
    <col min="14340" max="14340" width="43" customWidth="1"/>
    <col min="14342" max="14342" width="8.42578125" customWidth="1"/>
    <col min="14344" max="14344" width="7.5703125" customWidth="1"/>
    <col min="14593" max="14593" width="6.5703125" customWidth="1"/>
    <col min="14594" max="14594" width="6.28515625" customWidth="1"/>
    <col min="14595" max="14595" width="7.28515625" customWidth="1"/>
    <col min="14596" max="14596" width="43" customWidth="1"/>
    <col min="14598" max="14598" width="8.42578125" customWidth="1"/>
    <col min="14600" max="14600" width="7.5703125" customWidth="1"/>
    <col min="14849" max="14849" width="6.5703125" customWidth="1"/>
    <col min="14850" max="14850" width="6.28515625" customWidth="1"/>
    <col min="14851" max="14851" width="7.28515625" customWidth="1"/>
    <col min="14852" max="14852" width="43" customWidth="1"/>
    <col min="14854" max="14854" width="8.42578125" customWidth="1"/>
    <col min="14856" max="14856" width="7.5703125" customWidth="1"/>
    <col min="15105" max="15105" width="6.5703125" customWidth="1"/>
    <col min="15106" max="15106" width="6.28515625" customWidth="1"/>
    <col min="15107" max="15107" width="7.28515625" customWidth="1"/>
    <col min="15108" max="15108" width="43" customWidth="1"/>
    <col min="15110" max="15110" width="8.42578125" customWidth="1"/>
    <col min="15112" max="15112" width="7.5703125" customWidth="1"/>
    <col min="15361" max="15361" width="6.5703125" customWidth="1"/>
    <col min="15362" max="15362" width="6.28515625" customWidth="1"/>
    <col min="15363" max="15363" width="7.28515625" customWidth="1"/>
    <col min="15364" max="15364" width="43" customWidth="1"/>
    <col min="15366" max="15366" width="8.42578125" customWidth="1"/>
    <col min="15368" max="15368" width="7.5703125" customWidth="1"/>
    <col min="15617" max="15617" width="6.5703125" customWidth="1"/>
    <col min="15618" max="15618" width="6.28515625" customWidth="1"/>
    <col min="15619" max="15619" width="7.28515625" customWidth="1"/>
    <col min="15620" max="15620" width="43" customWidth="1"/>
    <col min="15622" max="15622" width="8.42578125" customWidth="1"/>
    <col min="15624" max="15624" width="7.5703125" customWidth="1"/>
    <col min="15873" max="15873" width="6.5703125" customWidth="1"/>
    <col min="15874" max="15874" width="6.28515625" customWidth="1"/>
    <col min="15875" max="15875" width="7.28515625" customWidth="1"/>
    <col min="15876" max="15876" width="43" customWidth="1"/>
    <col min="15878" max="15878" width="8.42578125" customWidth="1"/>
    <col min="15880" max="15880" width="7.5703125" customWidth="1"/>
    <col min="16129" max="16129" width="6.5703125" customWidth="1"/>
    <col min="16130" max="16130" width="6.28515625" customWidth="1"/>
    <col min="16131" max="16131" width="7.28515625" customWidth="1"/>
    <col min="16132" max="16132" width="43" customWidth="1"/>
    <col min="16134" max="16134" width="8.42578125" customWidth="1"/>
    <col min="16136" max="16136" width="7.5703125" customWidth="1"/>
  </cols>
  <sheetData>
    <row r="1" spans="1:11" ht="18.75" customHeight="1" x14ac:dyDescent="0.25">
      <c r="D1" s="301" t="s">
        <v>461</v>
      </c>
      <c r="E1" s="301"/>
      <c r="F1" s="301"/>
      <c r="G1" s="301"/>
      <c r="H1" s="301"/>
    </row>
    <row r="2" spans="1:11" ht="17.25" customHeight="1" x14ac:dyDescent="0.25">
      <c r="D2" s="301" t="s">
        <v>460</v>
      </c>
      <c r="E2" s="301"/>
      <c r="F2" s="301"/>
      <c r="G2" s="301"/>
      <c r="H2" s="301"/>
      <c r="I2" s="301"/>
    </row>
    <row r="3" spans="1:11" ht="16.5" customHeight="1" x14ac:dyDescent="0.25">
      <c r="D3" s="301" t="s">
        <v>462</v>
      </c>
      <c r="E3" s="301"/>
      <c r="F3" s="301"/>
      <c r="G3" s="301"/>
      <c r="H3" s="16"/>
    </row>
    <row r="5" spans="1:11" ht="19.5" customHeight="1" x14ac:dyDescent="0.25">
      <c r="A5" s="158" t="s">
        <v>448</v>
      </c>
      <c r="B5" s="158"/>
      <c r="C5" s="158"/>
      <c r="D5" s="158"/>
      <c r="E5" s="158"/>
      <c r="F5" s="158"/>
      <c r="G5" s="158"/>
      <c r="H5" s="16"/>
    </row>
    <row r="6" spans="1:11" ht="15.75" x14ac:dyDescent="0.25">
      <c r="A6" s="203" t="s">
        <v>428</v>
      </c>
      <c r="B6" s="203"/>
      <c r="C6" s="203"/>
      <c r="D6" s="203"/>
      <c r="E6" s="203"/>
      <c r="F6" s="203"/>
      <c r="G6" s="203"/>
      <c r="H6" s="16"/>
    </row>
    <row r="7" spans="1:11" ht="15.75" x14ac:dyDescent="0.25">
      <c r="A7" s="16"/>
      <c r="B7" s="16"/>
      <c r="C7" s="16"/>
      <c r="D7" s="16"/>
      <c r="E7" s="16"/>
      <c r="F7" s="16"/>
      <c r="G7" s="16" t="s">
        <v>124</v>
      </c>
      <c r="H7" s="16"/>
    </row>
    <row r="8" spans="1:11" ht="15.75" customHeight="1" x14ac:dyDescent="0.2">
      <c r="A8" s="233" t="s">
        <v>60</v>
      </c>
      <c r="B8" s="233" t="s">
        <v>153</v>
      </c>
      <c r="C8" s="233" t="s">
        <v>154</v>
      </c>
      <c r="D8" s="256" t="s">
        <v>429</v>
      </c>
      <c r="E8" s="233" t="s">
        <v>345</v>
      </c>
      <c r="F8" s="256" t="s">
        <v>152</v>
      </c>
      <c r="G8" s="256"/>
      <c r="H8" s="256"/>
    </row>
    <row r="9" spans="1:11" ht="15.75" x14ac:dyDescent="0.2">
      <c r="A9" s="234"/>
      <c r="B9" s="234"/>
      <c r="C9" s="234"/>
      <c r="D9" s="256"/>
      <c r="E9" s="234"/>
      <c r="F9" s="256" t="s">
        <v>108</v>
      </c>
      <c r="G9" s="256"/>
      <c r="H9" s="233" t="s">
        <v>430</v>
      </c>
      <c r="K9" s="159"/>
    </row>
    <row r="10" spans="1:11" ht="12.75" customHeight="1" x14ac:dyDescent="0.2">
      <c r="A10" s="234"/>
      <c r="B10" s="234"/>
      <c r="C10" s="234"/>
      <c r="D10" s="256"/>
      <c r="E10" s="234"/>
      <c r="F10" s="256" t="s">
        <v>4</v>
      </c>
      <c r="G10" s="256" t="s">
        <v>109</v>
      </c>
      <c r="H10" s="234"/>
    </row>
    <row r="11" spans="1:11" ht="49.5" customHeight="1" x14ac:dyDescent="0.2">
      <c r="A11" s="235"/>
      <c r="B11" s="235"/>
      <c r="C11" s="235"/>
      <c r="D11" s="256"/>
      <c r="E11" s="235"/>
      <c r="F11" s="256"/>
      <c r="G11" s="256"/>
      <c r="H11" s="235"/>
    </row>
    <row r="12" spans="1:11" ht="16.5" customHeight="1" x14ac:dyDescent="0.2">
      <c r="A12" s="153" t="s">
        <v>37</v>
      </c>
      <c r="B12" s="302" t="s">
        <v>8</v>
      </c>
      <c r="C12" s="302"/>
      <c r="D12" s="302"/>
      <c r="E12" s="160">
        <f>SUM(E14:E18,E20:E22)</f>
        <v>685276</v>
      </c>
      <c r="F12" s="160">
        <f>SUM(F14:F18,F20:F22)</f>
        <v>603939</v>
      </c>
      <c r="G12" s="160">
        <f>SUM(G14:G18,G20:G22)</f>
        <v>0</v>
      </c>
      <c r="H12" s="160">
        <f>SUM(H14:H18,H20:H22)</f>
        <v>81337</v>
      </c>
      <c r="J12" s="161"/>
    </row>
    <row r="13" spans="1:11" ht="15.75" x14ac:dyDescent="0.25">
      <c r="A13" s="4" t="s">
        <v>61</v>
      </c>
      <c r="B13" s="214" t="s">
        <v>431</v>
      </c>
      <c r="C13" s="214"/>
      <c r="D13" s="214"/>
      <c r="E13" s="214"/>
      <c r="F13" s="214"/>
      <c r="G13" s="214"/>
      <c r="H13" s="214"/>
    </row>
    <row r="14" spans="1:11" ht="15.75" x14ac:dyDescent="0.25">
      <c r="A14" s="4" t="s">
        <v>432</v>
      </c>
      <c r="B14" s="19" t="s">
        <v>127</v>
      </c>
      <c r="C14" s="19" t="s">
        <v>127</v>
      </c>
      <c r="D14" s="4" t="s">
        <v>230</v>
      </c>
      <c r="E14" s="4">
        <f>SUM(F14+H14)</f>
        <v>51137</v>
      </c>
      <c r="F14" s="4">
        <v>51137</v>
      </c>
      <c r="G14" s="4"/>
      <c r="H14" s="4"/>
    </row>
    <row r="15" spans="1:11" ht="16.5" customHeight="1" x14ac:dyDescent="0.25">
      <c r="A15" s="4" t="s">
        <v>433</v>
      </c>
      <c r="B15" s="19" t="s">
        <v>164</v>
      </c>
      <c r="C15" s="19" t="s">
        <v>164</v>
      </c>
      <c r="D15" s="4" t="s">
        <v>23</v>
      </c>
      <c r="E15" s="4">
        <f>SUM(F15+H15)</f>
        <v>91527</v>
      </c>
      <c r="F15" s="4">
        <v>91527</v>
      </c>
      <c r="G15" s="4"/>
      <c r="H15" s="4"/>
    </row>
    <row r="16" spans="1:11" ht="16.5" customHeight="1" x14ac:dyDescent="0.25">
      <c r="A16" s="4" t="s">
        <v>434</v>
      </c>
      <c r="B16" s="19" t="s">
        <v>46</v>
      </c>
      <c r="C16" s="19" t="s">
        <v>164</v>
      </c>
      <c r="D16" s="4" t="s">
        <v>17</v>
      </c>
      <c r="E16" s="4">
        <f>SUM(F16+H16)</f>
        <v>81337</v>
      </c>
      <c r="F16" s="4"/>
      <c r="G16" s="4"/>
      <c r="H16" s="4">
        <v>81337</v>
      </c>
    </row>
    <row r="17" spans="1:8" ht="15.75" x14ac:dyDescent="0.25">
      <c r="A17" s="4" t="s">
        <v>435</v>
      </c>
      <c r="B17" s="19" t="s">
        <v>162</v>
      </c>
      <c r="C17" s="19" t="s">
        <v>166</v>
      </c>
      <c r="D17" s="152" t="s">
        <v>16</v>
      </c>
      <c r="E17" s="4">
        <f t="shared" ref="E17:E22" si="0">SUM(F17+H17)</f>
        <v>102499</v>
      </c>
      <c r="F17" s="4">
        <v>102499</v>
      </c>
      <c r="G17" s="4"/>
      <c r="H17" s="4"/>
    </row>
    <row r="18" spans="1:8" ht="15.75" x14ac:dyDescent="0.25">
      <c r="A18" s="4" t="s">
        <v>436</v>
      </c>
      <c r="B18" s="19" t="s">
        <v>51</v>
      </c>
      <c r="C18" s="19" t="s">
        <v>162</v>
      </c>
      <c r="D18" s="4" t="s">
        <v>223</v>
      </c>
      <c r="E18" s="4">
        <f t="shared" si="0"/>
        <v>123186</v>
      </c>
      <c r="F18" s="4">
        <v>123186</v>
      </c>
      <c r="G18" s="4"/>
      <c r="H18" s="4"/>
    </row>
    <row r="19" spans="1:8" ht="15.75" x14ac:dyDescent="0.25">
      <c r="A19" s="4" t="s">
        <v>62</v>
      </c>
      <c r="B19" s="214" t="s">
        <v>116</v>
      </c>
      <c r="C19" s="214"/>
      <c r="D19" s="214"/>
      <c r="E19" s="214"/>
      <c r="F19" s="214"/>
      <c r="G19" s="214"/>
      <c r="H19" s="214"/>
    </row>
    <row r="20" spans="1:8" ht="45" customHeight="1" x14ac:dyDescent="0.25">
      <c r="A20" s="4" t="s">
        <v>437</v>
      </c>
      <c r="B20" s="19" t="s">
        <v>162</v>
      </c>
      <c r="C20" s="19" t="s">
        <v>168</v>
      </c>
      <c r="D20" s="153" t="s">
        <v>438</v>
      </c>
      <c r="E20" s="4">
        <f t="shared" si="0"/>
        <v>168384</v>
      </c>
      <c r="F20" s="4">
        <v>168384</v>
      </c>
      <c r="G20" s="4"/>
      <c r="H20" s="4"/>
    </row>
    <row r="21" spans="1:8" ht="33" customHeight="1" x14ac:dyDescent="0.25">
      <c r="A21" s="4" t="s">
        <v>439</v>
      </c>
      <c r="B21" s="19" t="s">
        <v>162</v>
      </c>
      <c r="C21" s="19" t="s">
        <v>168</v>
      </c>
      <c r="D21" s="153" t="s">
        <v>440</v>
      </c>
      <c r="E21" s="4">
        <f t="shared" si="0"/>
        <v>12654</v>
      </c>
      <c r="F21" s="4">
        <v>12654</v>
      </c>
      <c r="G21" s="4"/>
      <c r="H21" s="4"/>
    </row>
    <row r="22" spans="1:8" ht="18" customHeight="1" x14ac:dyDescent="0.25">
      <c r="A22" s="4" t="s">
        <v>441</v>
      </c>
      <c r="B22" s="19" t="s">
        <v>162</v>
      </c>
      <c r="C22" s="19" t="s">
        <v>168</v>
      </c>
      <c r="D22" s="153" t="s">
        <v>442</v>
      </c>
      <c r="E22" s="4">
        <f t="shared" si="0"/>
        <v>54552</v>
      </c>
      <c r="F22" s="4">
        <v>54552</v>
      </c>
      <c r="G22" s="4"/>
      <c r="H22" s="4"/>
    </row>
    <row r="23" spans="1:8" ht="21.75" customHeight="1" x14ac:dyDescent="0.25">
      <c r="A23" s="4" t="s">
        <v>41</v>
      </c>
      <c r="B23" s="214" t="s">
        <v>368</v>
      </c>
      <c r="C23" s="214"/>
      <c r="D23" s="214"/>
      <c r="E23" s="4">
        <f>SUM(F23+H23)</f>
        <v>1979</v>
      </c>
      <c r="F23" s="4">
        <v>1979</v>
      </c>
      <c r="G23" s="6"/>
      <c r="H23" s="6"/>
    </row>
    <row r="24" spans="1:8" ht="15.75" x14ac:dyDescent="0.25">
      <c r="A24" s="5" t="s">
        <v>444</v>
      </c>
      <c r="B24" s="214" t="s">
        <v>443</v>
      </c>
      <c r="C24" s="214"/>
      <c r="D24" s="214"/>
      <c r="E24" s="214"/>
      <c r="F24" s="214"/>
      <c r="G24" s="214"/>
      <c r="H24" s="214"/>
    </row>
    <row r="25" spans="1:8" ht="15.75" x14ac:dyDescent="0.25">
      <c r="A25" s="5" t="s">
        <v>445</v>
      </c>
      <c r="B25" s="19" t="s">
        <v>51</v>
      </c>
      <c r="C25" s="19" t="s">
        <v>162</v>
      </c>
      <c r="D25" s="14" t="s">
        <v>185</v>
      </c>
      <c r="E25" s="4">
        <f>SUM(F25+H25)</f>
        <v>1979</v>
      </c>
      <c r="F25" s="4">
        <v>1979</v>
      </c>
      <c r="G25" s="4"/>
      <c r="H25" s="4"/>
    </row>
    <row r="26" spans="1:8" ht="21" customHeight="1" x14ac:dyDescent="0.25">
      <c r="A26" s="4" t="s">
        <v>50</v>
      </c>
      <c r="B26" s="214" t="s">
        <v>28</v>
      </c>
      <c r="C26" s="214"/>
      <c r="D26" s="214"/>
      <c r="E26" s="6">
        <f>SUM(E28)</f>
        <v>8542</v>
      </c>
      <c r="F26" s="6">
        <f>SUM(F28)</f>
        <v>8542</v>
      </c>
      <c r="G26" s="6">
        <f>SUM(G28)</f>
        <v>0</v>
      </c>
      <c r="H26" s="6">
        <f>SUM(H28)</f>
        <v>0</v>
      </c>
    </row>
    <row r="27" spans="1:8" ht="15.75" x14ac:dyDescent="0.25">
      <c r="A27" s="5" t="s">
        <v>446</v>
      </c>
      <c r="B27" s="214" t="s">
        <v>443</v>
      </c>
      <c r="C27" s="214"/>
      <c r="D27" s="214"/>
      <c r="E27" s="214"/>
      <c r="F27" s="214"/>
      <c r="G27" s="214"/>
      <c r="H27" s="214"/>
    </row>
    <row r="28" spans="1:8" ht="15.75" x14ac:dyDescent="0.25">
      <c r="A28" s="5" t="s">
        <v>447</v>
      </c>
      <c r="B28" s="19" t="s">
        <v>51</v>
      </c>
      <c r="C28" s="19" t="s">
        <v>162</v>
      </c>
      <c r="D28" s="10" t="s">
        <v>173</v>
      </c>
      <c r="E28" s="4">
        <f>SUM(F28+H28)</f>
        <v>8542</v>
      </c>
      <c r="F28" s="4">
        <v>8542</v>
      </c>
      <c r="G28" s="4"/>
      <c r="H28" s="4"/>
    </row>
    <row r="29" spans="1:8" ht="15.75" x14ac:dyDescent="0.25">
      <c r="A29" s="162"/>
      <c r="B29" s="162"/>
      <c r="C29" s="162"/>
      <c r="D29" s="163" t="s">
        <v>449</v>
      </c>
      <c r="E29" s="6">
        <v>695797</v>
      </c>
      <c r="F29" s="6">
        <v>614460</v>
      </c>
      <c r="G29" s="6"/>
      <c r="H29" s="6">
        <v>81337</v>
      </c>
    </row>
  </sheetData>
  <mergeCells count="21">
    <mergeCell ref="B13:H13"/>
    <mergeCell ref="D1:H1"/>
    <mergeCell ref="D2:I2"/>
    <mergeCell ref="D3:G3"/>
    <mergeCell ref="A6:G6"/>
    <mergeCell ref="A8:A11"/>
    <mergeCell ref="B8:B11"/>
    <mergeCell ref="C8:C11"/>
    <mergeCell ref="D8:D11"/>
    <mergeCell ref="E8:E11"/>
    <mergeCell ref="F8:H8"/>
    <mergeCell ref="F9:G9"/>
    <mergeCell ref="H9:H11"/>
    <mergeCell ref="F10:F11"/>
    <mergeCell ref="G10:G11"/>
    <mergeCell ref="B12:D12"/>
    <mergeCell ref="B26:D26"/>
    <mergeCell ref="B27:H27"/>
    <mergeCell ref="B24:H24"/>
    <mergeCell ref="B23:D23"/>
    <mergeCell ref="B19:H19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9</vt:i4>
      </vt:variant>
    </vt:vector>
  </HeadingPairs>
  <TitlesOfParts>
    <vt:vector size="9" baseType="lpstr">
      <vt:lpstr>pajamos </vt:lpstr>
      <vt:lpstr>Asign.2</vt:lpstr>
      <vt:lpstr>sav.f. 3 </vt:lpstr>
      <vt:lpstr>Valst.f. 4</vt:lpstr>
      <vt:lpstr>MK 5</vt:lpstr>
      <vt:lpstr>AARP.6</vt:lpstr>
      <vt:lpstr>Spec.7</vt:lpstr>
      <vt:lpstr>Progr.8</vt:lpstr>
      <vt:lpstr>Lik. 9</vt:lpstr>
    </vt:vector>
  </TitlesOfParts>
  <Company>Lazdiju raj. savivaldybe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Finansu skyrius</dc:creator>
  <cp:lastModifiedBy>Laima Jauniskiene</cp:lastModifiedBy>
  <cp:lastPrinted>2014-12-29T10:34:15Z</cp:lastPrinted>
  <dcterms:created xsi:type="dcterms:W3CDTF">2001-02-14T07:46:15Z</dcterms:created>
  <dcterms:modified xsi:type="dcterms:W3CDTF">2014-12-29T13:22:41Z</dcterms:modified>
</cp:coreProperties>
</file>