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05" yWindow="6255" windowWidth="11655" windowHeight="1860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45621"/>
</workbook>
</file>

<file path=xl/calcChain.xml><?xml version="1.0" encoding="utf-8"?>
<calcChain xmlns="http://schemas.openxmlformats.org/spreadsheetml/2006/main">
  <c r="G71" i="10" l="1"/>
  <c r="G70" i="10"/>
  <c r="E127" i="5"/>
  <c r="E130" i="5"/>
  <c r="H100" i="5" l="1"/>
  <c r="H72" i="5"/>
  <c r="H17" i="5"/>
  <c r="H130" i="5"/>
  <c r="H127" i="5"/>
  <c r="G83" i="10"/>
  <c r="G45" i="10"/>
  <c r="G77" i="10"/>
  <c r="H77" i="10"/>
  <c r="G111" i="10"/>
  <c r="G102" i="10"/>
  <c r="G101" i="10"/>
  <c r="I100" i="10"/>
  <c r="G100" i="10"/>
  <c r="G99" i="10"/>
  <c r="G97" i="10"/>
  <c r="G96" i="10"/>
  <c r="G94" i="10"/>
  <c r="G91" i="10"/>
  <c r="I37" i="10"/>
  <c r="G118" i="10"/>
  <c r="G89" i="10"/>
  <c r="G88" i="10"/>
  <c r="G123" i="10"/>
  <c r="G121" i="10"/>
  <c r="G120" i="10"/>
  <c r="G115" i="10"/>
  <c r="G113" i="10"/>
  <c r="G105" i="10"/>
  <c r="G86" i="10"/>
  <c r="G85" i="10"/>
  <c r="I78" i="10"/>
  <c r="G78" i="10"/>
  <c r="G72" i="10"/>
  <c r="G38" i="10"/>
  <c r="G32" i="10"/>
  <c r="G30" i="10"/>
  <c r="G22" i="10"/>
  <c r="G18" i="10"/>
  <c r="H24" i="12" l="1"/>
  <c r="H27" i="12"/>
  <c r="G27" i="12"/>
  <c r="G24" i="12"/>
  <c r="G33" i="12" l="1"/>
  <c r="F15" i="16" l="1"/>
  <c r="E91" i="5" l="1"/>
  <c r="D91" i="5" s="1"/>
  <c r="E34" i="16" l="1"/>
  <c r="D35" i="16"/>
  <c r="E35" i="16"/>
  <c r="F57" i="11" l="1"/>
  <c r="F58" i="11"/>
  <c r="F59" i="11"/>
  <c r="F61" i="11"/>
  <c r="F105" i="10" l="1"/>
  <c r="G125" i="10"/>
  <c r="F32" i="10"/>
  <c r="E68" i="5" l="1"/>
  <c r="F29" i="16" l="1"/>
  <c r="I64" i="11"/>
  <c r="F62" i="11"/>
  <c r="D36" i="16" l="1"/>
  <c r="G25" i="8"/>
  <c r="I81" i="5" s="1"/>
  <c r="F114" i="10" l="1"/>
  <c r="F115" i="10"/>
  <c r="F116" i="10"/>
  <c r="E23" i="17"/>
  <c r="E28" i="17"/>
  <c r="E26" i="17" s="1"/>
  <c r="H26" i="17"/>
  <c r="G26" i="17"/>
  <c r="F26" i="17"/>
  <c r="E25" i="17"/>
  <c r="E22" i="17"/>
  <c r="E21" i="17"/>
  <c r="E20" i="17"/>
  <c r="E18" i="17"/>
  <c r="E17" i="17"/>
  <c r="E16" i="17"/>
  <c r="E15" i="17"/>
  <c r="E14" i="17"/>
  <c r="H12" i="17"/>
  <c r="G12" i="17"/>
  <c r="F12" i="17"/>
  <c r="E12" i="17" l="1"/>
  <c r="F36" i="16"/>
  <c r="E36" i="16"/>
  <c r="E32" i="16" l="1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/>
  <c r="D34" i="16" s="1"/>
  <c r="G11" i="8"/>
  <c r="D27" i="8"/>
  <c r="E34" i="5" l="1"/>
  <c r="F123" i="10"/>
  <c r="G118" i="5"/>
  <c r="E90" i="5"/>
  <c r="D90" i="5" s="1"/>
  <c r="F80" i="10"/>
  <c r="H28" i="1" l="1"/>
  <c r="H21" i="1"/>
  <c r="H20" i="1"/>
  <c r="H9" i="1"/>
  <c r="E33" i="16"/>
  <c r="H33" i="12"/>
  <c r="I33" i="12"/>
  <c r="F31" i="12"/>
  <c r="G123" i="5" s="1"/>
  <c r="D123" i="5" s="1"/>
  <c r="F30" i="12"/>
  <c r="F55" i="11"/>
  <c r="F81" i="5" s="1"/>
  <c r="F63" i="11"/>
  <c r="F60" i="11"/>
  <c r="F78" i="5" s="1"/>
  <c r="H52" i="11"/>
  <c r="H34" i="11"/>
  <c r="H30" i="11"/>
  <c r="G30" i="11"/>
  <c r="F50" i="10"/>
  <c r="F24" i="16"/>
  <c r="F26" i="16"/>
  <c r="F18" i="16"/>
  <c r="F17" i="16"/>
  <c r="F31" i="16"/>
  <c r="F30" i="16"/>
  <c r="F22" i="16"/>
  <c r="F25" i="16"/>
  <c r="F27" i="16"/>
  <c r="F18" i="10"/>
  <c r="F23" i="10"/>
  <c r="E20" i="5" s="1"/>
  <c r="D20" i="5" s="1"/>
  <c r="F101" i="10"/>
  <c r="F81" i="10"/>
  <c r="E89" i="5" s="1"/>
  <c r="D89" i="5" s="1"/>
  <c r="H125" i="10"/>
  <c r="F47" i="10"/>
  <c r="I125" i="10"/>
  <c r="F32" i="12"/>
  <c r="H21" i="5"/>
  <c r="E30" i="16"/>
  <c r="F39" i="10"/>
  <c r="F124" i="10"/>
  <c r="E75" i="5" s="1"/>
  <c r="D75" i="5" s="1"/>
  <c r="H149" i="5"/>
  <c r="H124" i="5"/>
  <c r="H94" i="5"/>
  <c r="H82" i="5"/>
  <c r="H76" i="5"/>
  <c r="H69" i="5"/>
  <c r="H66" i="5"/>
  <c r="H44" i="5"/>
  <c r="H41" i="5"/>
  <c r="H38" i="5"/>
  <c r="H35" i="5"/>
  <c r="H26" i="5"/>
  <c r="H30" i="5" s="1"/>
  <c r="F21" i="16"/>
  <c r="F32" i="16"/>
  <c r="F33" i="16"/>
  <c r="F14" i="12"/>
  <c r="G103" i="5" s="1"/>
  <c r="F15" i="12"/>
  <c r="G104" i="5" s="1"/>
  <c r="F16" i="12"/>
  <c r="G105" i="5"/>
  <c r="F17" i="12"/>
  <c r="G106" i="5" s="1"/>
  <c r="F18" i="12"/>
  <c r="G107" i="5" s="1"/>
  <c r="F19" i="12"/>
  <c r="G108" i="5" s="1"/>
  <c r="F20" i="12"/>
  <c r="G109" i="5" s="1"/>
  <c r="F21" i="12"/>
  <c r="G110" i="5" s="1"/>
  <c r="F22" i="12"/>
  <c r="G111" i="5" s="1"/>
  <c r="F23" i="12"/>
  <c r="G112" i="5" s="1"/>
  <c r="F24" i="12"/>
  <c r="G113" i="5" s="1"/>
  <c r="F25" i="12"/>
  <c r="G114" i="5" s="1"/>
  <c r="F26" i="12"/>
  <c r="G115" i="5" s="1"/>
  <c r="F27" i="12"/>
  <c r="G116" i="5" s="1"/>
  <c r="F28" i="12"/>
  <c r="G117" i="5" s="1"/>
  <c r="F29" i="12"/>
  <c r="G93" i="5" s="1"/>
  <c r="G94" i="5" s="1"/>
  <c r="F13" i="12"/>
  <c r="G102" i="5" s="1"/>
  <c r="F20" i="16"/>
  <c r="F19" i="16"/>
  <c r="F44" i="10"/>
  <c r="E122" i="5"/>
  <c r="D122" i="5" s="1"/>
  <c r="F87" i="5"/>
  <c r="D87" i="5" s="1"/>
  <c r="F56" i="11"/>
  <c r="F54" i="11"/>
  <c r="F18" i="11"/>
  <c r="F16" i="10"/>
  <c r="F127" i="5"/>
  <c r="F35" i="11"/>
  <c r="F82" i="10"/>
  <c r="E84" i="5" s="1"/>
  <c r="F78" i="10"/>
  <c r="F100" i="10"/>
  <c r="F98" i="10"/>
  <c r="E112" i="5" s="1"/>
  <c r="F37" i="10"/>
  <c r="D26" i="16"/>
  <c r="F34" i="16"/>
  <c r="F35" i="16"/>
  <c r="F37" i="16"/>
  <c r="D23" i="16"/>
  <c r="E33" i="5"/>
  <c r="D33" i="5" s="1"/>
  <c r="F34" i="10"/>
  <c r="F86" i="10"/>
  <c r="F69" i="5"/>
  <c r="G69" i="5"/>
  <c r="I69" i="5"/>
  <c r="F24" i="10"/>
  <c r="E23" i="5" s="1"/>
  <c r="F28" i="10"/>
  <c r="E28" i="5" s="1"/>
  <c r="F26" i="5"/>
  <c r="F30" i="5" s="1"/>
  <c r="G26" i="5"/>
  <c r="G30" i="5" s="1"/>
  <c r="I26" i="5"/>
  <c r="I30" i="5" s="1"/>
  <c r="F30" i="10"/>
  <c r="F52" i="10"/>
  <c r="F41" i="10"/>
  <c r="F45" i="10"/>
  <c r="F49" i="10"/>
  <c r="F53" i="10"/>
  <c r="G66" i="5"/>
  <c r="I66" i="5"/>
  <c r="F73" i="10"/>
  <c r="E78" i="5" s="1"/>
  <c r="F75" i="10"/>
  <c r="E80" i="5" s="1"/>
  <c r="D80" i="5" s="1"/>
  <c r="G82" i="5"/>
  <c r="I82" i="5"/>
  <c r="F87" i="10"/>
  <c r="E97" i="5" s="1"/>
  <c r="D97" i="5" s="1"/>
  <c r="F85" i="10"/>
  <c r="F100" i="5"/>
  <c r="G100" i="5"/>
  <c r="I100" i="5"/>
  <c r="F76" i="10"/>
  <c r="I21" i="5"/>
  <c r="G21" i="5"/>
  <c r="F35" i="5"/>
  <c r="G35" i="5"/>
  <c r="I35" i="5"/>
  <c r="F38" i="5"/>
  <c r="G38" i="5"/>
  <c r="I38" i="5"/>
  <c r="F83" i="10"/>
  <c r="D33" i="16"/>
  <c r="I92" i="5"/>
  <c r="F88" i="10"/>
  <c r="F89" i="10"/>
  <c r="F92" i="10"/>
  <c r="E106" i="5" s="1"/>
  <c r="F93" i="10"/>
  <c r="E107" i="5" s="1"/>
  <c r="F95" i="10"/>
  <c r="E109" i="5" s="1"/>
  <c r="F96" i="10"/>
  <c r="F97" i="10"/>
  <c r="F102" i="10"/>
  <c r="D17" i="16"/>
  <c r="I103" i="5"/>
  <c r="I104" i="5"/>
  <c r="I105" i="5"/>
  <c r="D24" i="16"/>
  <c r="D25" i="16"/>
  <c r="I112" i="5"/>
  <c r="I113" i="5"/>
  <c r="I114" i="5"/>
  <c r="D29" i="16"/>
  <c r="D31" i="16"/>
  <c r="D30" i="16"/>
  <c r="I116" i="5"/>
  <c r="I117" i="5"/>
  <c r="D37" i="16"/>
  <c r="G149" i="5"/>
  <c r="E41" i="5"/>
  <c r="G41" i="5"/>
  <c r="I41" i="5"/>
  <c r="E44" i="5"/>
  <c r="G44" i="5"/>
  <c r="I44" i="5"/>
  <c r="F36" i="11"/>
  <c r="F134" i="5" s="1"/>
  <c r="D134" i="5" s="1"/>
  <c r="F108" i="10"/>
  <c r="E121" i="5" s="1"/>
  <c r="D121" i="5" s="1"/>
  <c r="E52" i="16"/>
  <c r="F52" i="16"/>
  <c r="D52" i="16"/>
  <c r="F54" i="10"/>
  <c r="E74" i="5" s="1"/>
  <c r="E76" i="5" s="1"/>
  <c r="F19" i="10"/>
  <c r="F20" i="10"/>
  <c r="F110" i="10"/>
  <c r="F22" i="10"/>
  <c r="F76" i="5"/>
  <c r="G76" i="5"/>
  <c r="I76" i="5"/>
  <c r="F25" i="10"/>
  <c r="E24" i="5" s="1"/>
  <c r="D24" i="5" s="1"/>
  <c r="F52" i="11"/>
  <c r="F40" i="16"/>
  <c r="F41" i="16"/>
  <c r="F42" i="16"/>
  <c r="F43" i="16"/>
  <c r="F44" i="16"/>
  <c r="F45" i="16"/>
  <c r="F46" i="16"/>
  <c r="F47" i="16"/>
  <c r="F48" i="16"/>
  <c r="F49" i="16"/>
  <c r="F50" i="16"/>
  <c r="F51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9" i="16"/>
  <c r="F39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E38" i="16"/>
  <c r="F38" i="16"/>
  <c r="D38" i="16"/>
  <c r="E37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4" i="11"/>
  <c r="F15" i="11"/>
  <c r="F16" i="11"/>
  <c r="F17" i="11"/>
  <c r="F19" i="11"/>
  <c r="F20" i="11"/>
  <c r="F21" i="11"/>
  <c r="F22" i="11"/>
  <c r="F24" i="11"/>
  <c r="F25" i="11"/>
  <c r="F27" i="11"/>
  <c r="F53" i="11"/>
  <c r="F113" i="10"/>
  <c r="F122" i="10"/>
  <c r="E132" i="5" s="1"/>
  <c r="D132" i="5" s="1"/>
  <c r="F121" i="10"/>
  <c r="F120" i="10"/>
  <c r="F118" i="10"/>
  <c r="F50" i="11"/>
  <c r="F148" i="5" s="1"/>
  <c r="D148" i="5" s="1"/>
  <c r="F77" i="10"/>
  <c r="F36" i="10"/>
  <c r="E37" i="5" s="1"/>
  <c r="F33" i="10"/>
  <c r="E32" i="5" s="1"/>
  <c r="F35" i="10"/>
  <c r="F29" i="10"/>
  <c r="E29" i="5" s="1"/>
  <c r="D29" i="5" s="1"/>
  <c r="F26" i="10"/>
  <c r="E25" i="5" s="1"/>
  <c r="D25" i="5" s="1"/>
  <c r="F17" i="10"/>
  <c r="E16" i="5" s="1"/>
  <c r="F21" i="10"/>
  <c r="E19" i="5" s="1"/>
  <c r="D19" i="5" s="1"/>
  <c r="F27" i="10"/>
  <c r="F15" i="10"/>
  <c r="E15" i="5" s="1"/>
  <c r="D15" i="5" s="1"/>
  <c r="F84" i="10"/>
  <c r="E92" i="5" s="1"/>
  <c r="F111" i="10"/>
  <c r="F112" i="10"/>
  <c r="E98" i="5" s="1"/>
  <c r="D98" i="5" s="1"/>
  <c r="F117" i="10"/>
  <c r="E129" i="5" s="1"/>
  <c r="F119" i="10"/>
  <c r="F106" i="10"/>
  <c r="E118" i="5" s="1"/>
  <c r="F90" i="10"/>
  <c r="E104" i="5" s="1"/>
  <c r="F91" i="10"/>
  <c r="F103" i="10"/>
  <c r="E117" i="5" s="1"/>
  <c r="F107" i="10"/>
  <c r="E119" i="5" s="1"/>
  <c r="D119" i="5" s="1"/>
  <c r="F79" i="10"/>
  <c r="E88" i="5" s="1"/>
  <c r="D88" i="5" s="1"/>
  <c r="F104" i="10"/>
  <c r="F74" i="10"/>
  <c r="E79" i="5" s="1"/>
  <c r="D79" i="5" s="1"/>
  <c r="F55" i="10"/>
  <c r="E64" i="5" s="1"/>
  <c r="D64" i="5" s="1"/>
  <c r="F40" i="10"/>
  <c r="F58" i="10"/>
  <c r="F59" i="10"/>
  <c r="F42" i="10"/>
  <c r="F60" i="10"/>
  <c r="F43" i="10"/>
  <c r="F61" i="10"/>
  <c r="F62" i="10"/>
  <c r="F63" i="10"/>
  <c r="F46" i="10"/>
  <c r="F64" i="10"/>
  <c r="F65" i="10"/>
  <c r="F48" i="10"/>
  <c r="F66" i="10"/>
  <c r="F67" i="10"/>
  <c r="F68" i="10"/>
  <c r="F51" i="10"/>
  <c r="F69" i="10"/>
  <c r="F70" i="10"/>
  <c r="F71" i="10"/>
  <c r="F38" i="10"/>
  <c r="F72" i="10"/>
  <c r="F109" i="10"/>
  <c r="E120" i="5" s="1"/>
  <c r="D120" i="5" s="1"/>
  <c r="F56" i="10"/>
  <c r="E63" i="5" s="1"/>
  <c r="D63" i="5" s="1"/>
  <c r="F23" i="11"/>
  <c r="F18" i="5" s="1"/>
  <c r="D18" i="5" s="1"/>
  <c r="F29" i="11"/>
  <c r="F40" i="5" s="1"/>
  <c r="D40" i="5" s="1"/>
  <c r="F28" i="11"/>
  <c r="F43" i="5" s="1"/>
  <c r="F26" i="11"/>
  <c r="F46" i="5" s="1"/>
  <c r="F66" i="5" s="1"/>
  <c r="F51" i="11"/>
  <c r="F126" i="5" s="1"/>
  <c r="F31" i="11"/>
  <c r="F32" i="11"/>
  <c r="F33" i="11"/>
  <c r="F34" i="11"/>
  <c r="F37" i="11"/>
  <c r="F135" i="5" s="1"/>
  <c r="D135" i="5" s="1"/>
  <c r="F38" i="11"/>
  <c r="F136" i="5" s="1"/>
  <c r="D136" i="5" s="1"/>
  <c r="F39" i="11"/>
  <c r="F137" i="5"/>
  <c r="D137" i="5" s="1"/>
  <c r="F40" i="11"/>
  <c r="F138" i="5" s="1"/>
  <c r="D138" i="5" s="1"/>
  <c r="F41" i="11"/>
  <c r="F139" i="5" s="1"/>
  <c r="D139" i="5" s="1"/>
  <c r="F42" i="11"/>
  <c r="F140" i="5" s="1"/>
  <c r="D140" i="5" s="1"/>
  <c r="F43" i="11"/>
  <c r="F141" i="5" s="1"/>
  <c r="D141" i="5" s="1"/>
  <c r="F44" i="11"/>
  <c r="F142" i="5" s="1"/>
  <c r="D142" i="5" s="1"/>
  <c r="F45" i="11"/>
  <c r="F143" i="5" s="1"/>
  <c r="D143" i="5" s="1"/>
  <c r="F46" i="11"/>
  <c r="F144" i="5" s="1"/>
  <c r="D144" i="5" s="1"/>
  <c r="F47" i="11"/>
  <c r="F145" i="5"/>
  <c r="D145" i="5" s="1"/>
  <c r="F48" i="11"/>
  <c r="F146" i="5" s="1"/>
  <c r="D146" i="5" s="1"/>
  <c r="F49" i="11"/>
  <c r="F147" i="5" s="1"/>
  <c r="D147" i="5" s="1"/>
  <c r="E27" i="8"/>
  <c r="F27" i="8"/>
  <c r="D34" i="5"/>
  <c r="F23" i="16"/>
  <c r="F94" i="10"/>
  <c r="F28" i="16"/>
  <c r="F99" i="10"/>
  <c r="F57" i="10"/>
  <c r="I109" i="5"/>
  <c r="I102" i="5"/>
  <c r="I115" i="5"/>
  <c r="I126" i="5"/>
  <c r="I149" i="5" s="1"/>
  <c r="D19" i="16"/>
  <c r="D118" i="5" l="1"/>
  <c r="H150" i="5"/>
  <c r="D86" i="5"/>
  <c r="D65" i="5"/>
  <c r="D129" i="5"/>
  <c r="D128" i="5"/>
  <c r="D99" i="5"/>
  <c r="D131" i="5"/>
  <c r="D15" i="16"/>
  <c r="C15" i="16" s="1"/>
  <c r="G64" i="11"/>
  <c r="E15" i="16"/>
  <c r="E53" i="16" s="1"/>
  <c r="H64" i="11"/>
  <c r="G27" i="8"/>
  <c r="F130" i="5"/>
  <c r="F125" i="10"/>
  <c r="F116" i="5"/>
  <c r="F124" i="5" s="1"/>
  <c r="E48" i="5"/>
  <c r="D48" i="5" s="1"/>
  <c r="F33" i="12"/>
  <c r="C23" i="16"/>
  <c r="E62" i="5"/>
  <c r="D62" i="5" s="1"/>
  <c r="E53" i="5"/>
  <c r="D53" i="5" s="1"/>
  <c r="F41" i="5"/>
  <c r="D41" i="5" s="1"/>
  <c r="D111" i="5"/>
  <c r="F44" i="5"/>
  <c r="D44" i="5" s="1"/>
  <c r="D43" i="5"/>
  <c r="E56" i="5"/>
  <c r="D56" i="5" s="1"/>
  <c r="F82" i="5"/>
  <c r="F94" i="5"/>
  <c r="D130" i="5"/>
  <c r="F133" i="5"/>
  <c r="D133" i="5" s="1"/>
  <c r="F17" i="5"/>
  <c r="F21" i="5" s="1"/>
  <c r="E59" i="5"/>
  <c r="D59" i="5" s="1"/>
  <c r="D106" i="5"/>
  <c r="F30" i="11"/>
  <c r="F64" i="11" s="1"/>
  <c r="H39" i="1"/>
  <c r="H44" i="1" s="1"/>
  <c r="C17" i="16"/>
  <c r="E49" i="5"/>
  <c r="D49" i="5" s="1"/>
  <c r="C16" i="16"/>
  <c r="C19" i="16"/>
  <c r="C21" i="16"/>
  <c r="C33" i="16"/>
  <c r="C29" i="16"/>
  <c r="C24" i="16"/>
  <c r="D32" i="16"/>
  <c r="C32" i="16" s="1"/>
  <c r="D27" i="16"/>
  <c r="C27" i="16" s="1"/>
  <c r="C31" i="16"/>
  <c r="C34" i="16"/>
  <c r="C36" i="16"/>
  <c r="C26" i="16"/>
  <c r="C25" i="16"/>
  <c r="D28" i="16"/>
  <c r="C28" i="16" s="1"/>
  <c r="D81" i="5"/>
  <c r="D20" i="16"/>
  <c r="C20" i="16" s="1"/>
  <c r="I110" i="5"/>
  <c r="D110" i="5" s="1"/>
  <c r="D18" i="16"/>
  <c r="C18" i="16" s="1"/>
  <c r="D105" i="5"/>
  <c r="I84" i="5"/>
  <c r="I94" i="5" s="1"/>
  <c r="C35" i="16"/>
  <c r="E61" i="5"/>
  <c r="D61" i="5" s="1"/>
  <c r="D92" i="5"/>
  <c r="C22" i="16"/>
  <c r="E21" i="5"/>
  <c r="C50" i="16"/>
  <c r="C48" i="16"/>
  <c r="C37" i="16"/>
  <c r="G124" i="5"/>
  <c r="G150" i="5" s="1"/>
  <c r="D113" i="5"/>
  <c r="D93" i="5"/>
  <c r="D117" i="5"/>
  <c r="D104" i="5"/>
  <c r="D127" i="5"/>
  <c r="D107" i="5"/>
  <c r="D103" i="5"/>
  <c r="C30" i="16"/>
  <c r="C51" i="16"/>
  <c r="C49" i="16"/>
  <c r="C47" i="16"/>
  <c r="C45" i="16"/>
  <c r="C43" i="16"/>
  <c r="D109" i="5"/>
  <c r="C46" i="16"/>
  <c r="C44" i="16"/>
  <c r="E57" i="5"/>
  <c r="D57" i="5" s="1"/>
  <c r="E55" i="5"/>
  <c r="D55" i="5" s="1"/>
  <c r="C41" i="16"/>
  <c r="C39" i="16"/>
  <c r="D102" i="5"/>
  <c r="D46" i="5"/>
  <c r="D115" i="5"/>
  <c r="D74" i="5"/>
  <c r="D76" i="5" s="1"/>
  <c r="D23" i="5"/>
  <c r="D26" i="5" s="1"/>
  <c r="E26" i="5"/>
  <c r="E30" i="5"/>
  <c r="D30" i="5" s="1"/>
  <c r="D28" i="5"/>
  <c r="E60" i="5"/>
  <c r="D60" i="5" s="1"/>
  <c r="E52" i="5"/>
  <c r="D52" i="5" s="1"/>
  <c r="E51" i="5"/>
  <c r="D51" i="5" s="1"/>
  <c r="E50" i="5"/>
  <c r="D50" i="5" s="1"/>
  <c r="C38" i="16"/>
  <c r="C42" i="16"/>
  <c r="C40" i="16"/>
  <c r="D37" i="5"/>
  <c r="E38" i="5"/>
  <c r="D38" i="5" s="1"/>
  <c r="D112" i="5"/>
  <c r="D114" i="5"/>
  <c r="D47" i="5"/>
  <c r="E149" i="5"/>
  <c r="D126" i="5"/>
  <c r="D32" i="5"/>
  <c r="E35" i="5"/>
  <c r="D35" i="5" s="1"/>
  <c r="D96" i="5"/>
  <c r="E100" i="5"/>
  <c r="E72" i="5"/>
  <c r="D71" i="5"/>
  <c r="D72" i="5" s="1"/>
  <c r="D108" i="5"/>
  <c r="E124" i="5"/>
  <c r="E94" i="5"/>
  <c r="D85" i="5"/>
  <c r="E82" i="5"/>
  <c r="D78" i="5"/>
  <c r="C52" i="16"/>
  <c r="F53" i="16"/>
  <c r="D16" i="5"/>
  <c r="D58" i="5" l="1"/>
  <c r="D54" i="5"/>
  <c r="D116" i="5"/>
  <c r="D100" i="5"/>
  <c r="I124" i="5"/>
  <c r="I150" i="5" s="1"/>
  <c r="D82" i="5"/>
  <c r="F149" i="5"/>
  <c r="F150" i="5" s="1"/>
  <c r="D21" i="5"/>
  <c r="H41" i="1"/>
  <c r="D17" i="5"/>
  <c r="D68" i="5"/>
  <c r="D94" i="5"/>
  <c r="D84" i="5"/>
  <c r="C53" i="16"/>
  <c r="E66" i="5"/>
  <c r="D53" i="16"/>
  <c r="D66" i="5" l="1"/>
  <c r="E150" i="5"/>
  <c r="D124" i="5"/>
  <c r="E69" i="5"/>
  <c r="D69" i="5" s="1"/>
  <c r="D149" i="5"/>
  <c r="D150" i="5" l="1"/>
  <c r="I72" i="5"/>
  <c r="F72" i="5"/>
  <c r="G72" i="5"/>
</calcChain>
</file>

<file path=xl/sharedStrings.xml><?xml version="1.0" encoding="utf-8"?>
<sst xmlns="http://schemas.openxmlformats.org/spreadsheetml/2006/main" count="1666" uniqueCount="496">
  <si>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</si>
  <si>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</si>
  <si>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</si>
  <si>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</si>
  <si>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</si>
  <si>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</si>
  <si>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</si>
  <si>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</si>
  <si>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</si>
  <si>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</si>
  <si>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</si>
  <si>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</si>
  <si>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</si>
  <si>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</si>
  <si>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</si>
  <si>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</si>
  <si>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</si>
  <si>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</si>
  <si>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</si>
  <si>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</si>
  <si>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</si>
  <si>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</si>
  <si>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</si>
  <si>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</si>
  <si>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</si>
  <si>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</si>
  <si>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</si>
  <si>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</si>
  <si>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</si>
  <si>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</si>
  <si>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Dantų protezavimas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</si>
  <si>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</si>
  <si>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</si>
  <si>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</si>
  <si>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</si>
  <si>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</si>
  <si>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</si>
  <si>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</si>
  <si>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</si>
  <si>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</si>
  <si>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</si>
  <si>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</si>
  <si>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</si>
  <si>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</si>
  <si>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</si>
  <si>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</si>
  <si>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</si>
  <si>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</si>
  <si>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</si>
  <si>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</si>
  <si>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</si>
  <si>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</si>
  <si>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</si>
  <si>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</si>
  <si>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</si>
  <si>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</si>
  <si>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</si>
  <si>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</si>
  <si>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</si>
  <si>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</si>
  <si>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</si>
  <si>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</si>
  <si>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</si>
  <si>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</si>
  <si>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</si>
  <si>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</si>
  <si>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</si>
  <si>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</si>
  <si>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</si>
  <si>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</si>
  <si>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</si>
  <si>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</si>
  <si>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</si>
  <si>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</si>
  <si>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</si>
  <si>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</si>
  <si>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</si>
  <si>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</si>
  <si>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</si>
  <si>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</si>
  <si>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</si>
  <si>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</si>
  <si>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</si>
  <si>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</si>
  <si>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</si>
  <si>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</si>
  <si>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</si>
  <si>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</si>
  <si>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</si>
  <si>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</si>
  <si>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</si>
  <si>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</si>
  <si>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</si>
  <si>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</si>
  <si>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</si>
  <si>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</si>
  <si>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</si>
  <si>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</si>
  <si>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</si>
  <si>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</si>
  <si>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</si>
  <si>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</si>
  <si>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</si>
  <si>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</si>
  <si>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</si>
  <si>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</si>
  <si>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</si>
  <si>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</si>
  <si>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</si>
  <si>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</si>
  <si>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</si>
  <si>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</si>
  <si>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</si>
  <si>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</si>
  <si>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</si>
  <si>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</si>
  <si>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</si>
  <si>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</si>
  <si>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</si>
  <si>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</si>
  <si>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</si>
  <si>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</si>
  <si>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</si>
  <si>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</si>
  <si>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</si>
  <si>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</si>
  <si>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</si>
  <si>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</si>
  <si>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</si>
  <si>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</si>
  <si>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</si>
  <si>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</si>
  <si>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</si>
  <si>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</si>
  <si>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</si>
  <si>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</si>
  <si>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</si>
  <si>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</si>
  <si>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</si>
  <si>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</si>
  <si>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</si>
  <si>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</si>
  <si>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</si>
  <si>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</si>
  <si>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</si>
  <si>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</si>
  <si>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</si>
  <si>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</si>
  <si>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</si>
  <si>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</si>
  <si>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</si>
  <si>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</si>
  <si>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</si>
  <si>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</si>
  <si>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</si>
  <si>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</si>
  <si>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</si>
  <si>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</si>
  <si>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</si>
  <si>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</si>
  <si>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</si>
  <si>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</si>
  <si>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</si>
  <si>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</si>
  <si>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</si>
  <si>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</si>
  <si>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</si>
  <si>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</si>
  <si>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</si>
  <si>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</si>
  <si>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</si>
  <si>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</si>
  <si>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</si>
  <si>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</si>
  <si>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</si>
  <si>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</si>
  <si>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</si>
  <si>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</si>
  <si>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</si>
  <si>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</si>
  <si>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</si>
  <si>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</si>
  <si>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</si>
  <si>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</si>
  <si>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</si>
  <si>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</si>
  <si>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</si>
  <si>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</si>
  <si>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</si>
  <si>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</si>
  <si>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</si>
  <si>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</si>
  <si>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</si>
  <si>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</si>
  <si>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</si>
  <si>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</si>
  <si>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</si>
  <si>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</si>
  <si>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</si>
  <si>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</si>
  <si>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</si>
  <si>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</si>
  <si>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</si>
  <si>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</si>
  <si>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</si>
  <si>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</si>
  <si>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</si>
  <si>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</si>
  <si>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</si>
  <si>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</si>
  <si>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</si>
  <si>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</si>
  <si>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</si>
  <si>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</si>
  <si>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</si>
  <si>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</si>
  <si>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</si>
  <si>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</si>
  <si>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</si>
  <si>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</si>
  <si>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</si>
  <si>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</si>
  <si>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</si>
  <si>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</si>
  <si>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</si>
  <si>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</si>
  <si>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</si>
  <si>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</si>
  <si>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</si>
  <si>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</si>
  <si>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</si>
  <si>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</si>
  <si>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</si>
  <si>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</si>
  <si>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</si>
  <si>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</si>
  <si>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</si>
  <si>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</si>
  <si>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miesto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</si>
  <si>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</si>
  <si>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</si>
  <si>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</si>
  <si>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</si>
  <si>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</si>
  <si>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</si>
  <si>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</si>
  <si>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</si>
  <si>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</si>
  <si>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</si>
  <si>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</si>
  <si>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</si>
  <si>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</si>
  <si>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</si>
  <si>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</si>
  <si>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</si>
  <si>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</si>
  <si>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</si>
  <si>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</si>
  <si>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</si>
  <si>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</si>
  <si>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</si>
  <si>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</si>
  <si>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</si>
  <si>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</si>
  <si>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</si>
  <si>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</si>
  <si>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</si>
  <si>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</si>
  <si>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</si>
  <si>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</si>
  <si>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</si>
  <si>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</si>
  <si>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</si>
  <si>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</si>
  <si>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</si>
  <si>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</si>
  <si>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</si>
  <si>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</si>
  <si>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</si>
  <si>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</si>
  <si>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</si>
  <si>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</si>
  <si>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</si>
  <si>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</si>
  <si>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</si>
  <si>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</si>
  <si>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</si>
  <si>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</si>
  <si>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</si>
  <si>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</si>
  <si>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</si>
  <si>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</si>
  <si>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</si>
  <si>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</si>
  <si>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</si>
  <si>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</si>
  <si>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</si>
  <si>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</si>
  <si>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</si>
  <si>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</si>
  <si>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</si>
  <si>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</si>
  <si>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</si>
  <si>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</si>
  <si>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</si>
  <si>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</si>
  <si>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</si>
  <si>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</si>
  <si>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</si>
  <si>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</si>
  <si>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</si>
  <si>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</si>
  <si>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</si>
  <si>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</si>
  <si>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</si>
  <si>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</si>
  <si>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</si>
  <si>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</si>
  <si>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</si>
  <si>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</si>
  <si>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</si>
  <si>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Papildomos ugdymo įstaigos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</si>
  <si>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</si>
  <si>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</si>
  <si>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</si>
  <si>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</si>
  <si>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</si>
  <si>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</si>
  <si>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</si>
  <si>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</si>
  <si>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</si>
  <si>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</si>
  <si>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</si>
  <si>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</si>
  <si>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</si>
  <si>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</si>
  <si>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</si>
  <si>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</si>
  <si>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</si>
  <si>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</si>
  <si>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</si>
  <si>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</si>
  <si>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</si>
  <si>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</si>
  <si>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</si>
  <si>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</si>
  <si>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</si>
  <si>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</si>
  <si>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</si>
  <si>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</si>
  <si>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</si>
  <si>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</si>
  <si>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</si>
  <si>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</si>
  <si>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</si>
  <si>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</si>
  <si>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</si>
  <si>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</si>
  <si>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</si>
  <si>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</si>
  <si>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</si>
  <si>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</si>
  <si>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</si>
  <si>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35.1.</t>
  </si>
  <si>
    <t>Valst. žemės ir kt. valstybinio turto valdymas, naudojimas ir disponavimas patikėjimo teise</t>
  </si>
  <si>
    <t>1. Maudyklų vandens kokybės stebėsenos programos vykdymui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</si>
  <si>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</si>
  <si>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</si>
  <si>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</si>
  <si>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</si>
  <si>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</si>
  <si>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</si>
  <si>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</si>
  <si>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</si>
  <si>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</si>
  <si>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</si>
  <si>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</si>
  <si>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</si>
  <si>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</si>
  <si>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</si>
  <si>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</si>
  <si>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</si>
  <si>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</si>
  <si>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</si>
  <si>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                                                                                                                     (Lt)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</si>
  <si>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</si>
  <si>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</si>
  <si>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</si>
  <si>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</si>
  <si>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7 priedas</t>
  </si>
  <si>
    <t>bendrosios dotacijos kompensa-cija</t>
  </si>
  <si>
    <t>iš jų: Alytaus regiono atliekų tvarkymo centras</t>
  </si>
  <si>
    <t>Meno kolektyvų populiarinimo programa</t>
  </si>
  <si>
    <t>SPECIALIŲJŲ UGDYMOSI POREIKIŲ MOKINIAMS IR VALSTYBĖS INVESTICIJŲ PROGRAMOS PROJEKTAMS FINANSUOTI</t>
  </si>
  <si>
    <t>Turto įsigijimui</t>
  </si>
  <si>
    <t>Finansinių įsipareigojimų vykdymas</t>
  </si>
  <si>
    <t xml:space="preserve">2 priedas  </t>
  </si>
  <si>
    <t>VšĮ Lazdijų ligoninės infrastruktūros modernizavimas</t>
  </si>
  <si>
    <t>Visuomenės sveikatos priežiūra, stiprinimas, stebėsena</t>
  </si>
  <si>
    <t xml:space="preserve">     2014 METŲ LAZDIJŲ RAJONO SAVIVALDYBĖS BIUDŽETO SPECIALIOSIOS TIKSLINĖS DOTACIJOS</t>
  </si>
  <si>
    <t>Bendruomenių iniciatyvų rėmimas</t>
  </si>
  <si>
    <t xml:space="preserve">                        2014 METŲ LAZDIJŲ RAJONO SAVIVALDYBĖS BIUDŽETO ASIGNAVIMAI</t>
  </si>
  <si>
    <t>3 priedas</t>
  </si>
  <si>
    <t>VšĮ Lazdijų švietimo centrui</t>
  </si>
  <si>
    <t xml:space="preserve">                                               5 priedas</t>
  </si>
  <si>
    <t xml:space="preserve">2014 METŲ LAZDIJŲ RAJONO SAVIVALDYBĖS BIUDŽETO PAJAMOS </t>
  </si>
  <si>
    <t xml:space="preserve"> 2014 METŲ LAZDIJŲ RAJONO SAVIVALDYBĖS BIUDŽETO ASIGNAVIMAI</t>
  </si>
  <si>
    <t>2014 METŲ LAZDIJŲ RAJONO SAVIVALDYBĖS BIUDŽETO ASIGNAVIMAI</t>
  </si>
  <si>
    <t>Iš viso mokesčių, dotacijų ir kitų pajamų</t>
  </si>
  <si>
    <t>Metų pradžios lėšų likučiai</t>
  </si>
  <si>
    <t xml:space="preserve">9. </t>
  </si>
  <si>
    <t>2014 METŲ LAZDIJŲ RAJONO SAVIVALDYBĖS BIUDŽETINIŲ ĮSTAIGŲ PAJAMOS</t>
  </si>
  <si>
    <t xml:space="preserve">     Investiciniams projektams finansuoti</t>
  </si>
  <si>
    <t>235590       168384</t>
  </si>
  <si>
    <t xml:space="preserve">1. Savivaldybės želdynų ir želdinių apsaugai ir tvarkymui </t>
  </si>
  <si>
    <t>2. Medžių (krūmų) sodinukų įsigijimui ir veisimui rajono savivaldybės teritorijoje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</si>
  <si>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</si>
  <si>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</si>
  <si>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2. Poveikio požeminiam vandeniui monitoringo atlikimui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</si>
  <si>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</si>
  <si>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</si>
  <si>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1. Lazdijų r. Kučiūnų mokyklos aplinkosaugos projektui ,,Žalioji lauko klasė" finansuoti</t>
  </si>
  <si>
    <t>2. Aplinkosauginių renginių organizavimui</t>
  </si>
  <si>
    <t>3. Visuomenės aplinkosauginio informavimo ir švietimo priemonių vykdymui</t>
  </si>
  <si>
    <t xml:space="preserve">2014 METŲ LAZDIJŲ RAJONO SAVIVALDYBĖS APLINKOS APSAUGOS RĖMIMO </t>
  </si>
  <si>
    <t>Dainų šventės programa</t>
  </si>
  <si>
    <t>Socialinės paramos skyriaus išlaikymas</t>
  </si>
  <si>
    <t xml:space="preserve">Programos lėšų likutis 2013 m. gruodžio 31 d.                                                                              iš jų: medžioklės plotų naudotojų mokesčių      </t>
  </si>
  <si>
    <t>Lėšų likutis         2013 m. gruodžio 31 d.</t>
  </si>
  <si>
    <t>Iš viso  pajamos su likučiais</t>
  </si>
  <si>
    <t>PASKIRSTYMAS ĮSISKOLINIMAMS DENGTI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</si>
  <si>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</si>
  <si>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</si>
  <si>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</si>
  <si>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</si>
  <si>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</si>
  <si>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</si>
  <si>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1.1.4.</t>
  </si>
  <si>
    <t>1.1.5.</t>
  </si>
  <si>
    <t>1.2.1.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</si>
  <si>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</si>
  <si>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</si>
  <si>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</si>
  <si>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1.2.3.</t>
  </si>
  <si>
    <t>Kitos aplinkosaugos priemonių grupės</t>
  </si>
  <si>
    <t>Biudžetinių įstaigų pajamos</t>
  </si>
  <si>
    <t>5.2.</t>
  </si>
  <si>
    <t>5.2.1.</t>
  </si>
  <si>
    <t>14.1.</t>
  </si>
  <si>
    <t>14.1.1.</t>
  </si>
  <si>
    <t xml:space="preserve">2013 METŲ LAZDIJŲ RAJONO SAVIVALDYBĖS NEPANAUDOTŲ BIUDŽETO LĖŠŲ   </t>
  </si>
  <si>
    <t>IŠ VISO:</t>
  </si>
  <si>
    <t>Slaugos lovų išlaikymas</t>
  </si>
  <si>
    <t xml:space="preserve">Slaugos lovų išlaikymas </t>
  </si>
  <si>
    <t>105.</t>
  </si>
  <si>
    <t>Socialinės pagalbos teikimas namuose</t>
  </si>
  <si>
    <t>Kultūros centro pastato rekonstrukcija (VIP)</t>
  </si>
  <si>
    <t>Bendrasis ugdymas</t>
  </si>
  <si>
    <t>106.</t>
  </si>
  <si>
    <t>5. Bešeimininkių padangų atliekų transportavimo išlaidoms padengti</t>
  </si>
  <si>
    <t>6. Projekto ,,Baltajo ežero dalies išvalymas ir tvarkymas" monitoringo programos finansavimui</t>
  </si>
  <si>
    <t xml:space="preserve">(2014 m. balandžio        d. sprendimo Nr. </t>
  </si>
  <si>
    <t>2014 m. vasario 28  d. sprendimo Nr. TS-1011</t>
  </si>
  <si>
    <t xml:space="preserve">                                   2014 m. vasario 28 d. sprendimo Nr. 5TS-1011</t>
  </si>
  <si>
    <t xml:space="preserve">                                  Lazdijų rajono savivaldybės tarybos</t>
  </si>
  <si>
    <t xml:space="preserve">       9 priedas</t>
  </si>
  <si>
    <t>Alytaus apskrities priešgaisrinės gelbėjimo valdybos Lazdijų priešgaisrinė gelbėjimo tarnyba</t>
  </si>
  <si>
    <t>15.1.</t>
  </si>
  <si>
    <t>Priešgaisrinių tarnybų organizavimas, iš jų:</t>
  </si>
  <si>
    <t>Pastato modernizavimas</t>
  </si>
  <si>
    <t>3. Lazdijų miesto Nepriklausomybės aikštės takų apšvietimo šviestuvų rekonstrukcijai</t>
  </si>
  <si>
    <t>4. Nuotekų ir lietaus surinkimo sistemų eksploatavimo, remonto ir rekonstravimo išlaidoms finansuoti</t>
  </si>
  <si>
    <t>7. Sąvartyno, esančio Varnėnų kaime, likvdavimo darbų finansavimui</t>
  </si>
  <si>
    <t>8. Pakuočių ir stiklo atliekų surinkimo konteinerių švietimo įstaigoms ir civilinėms kapinėms pirkimas</t>
  </si>
  <si>
    <t>Iš viso išlaidų</t>
  </si>
  <si>
    <t xml:space="preserve">IV. Gyventojų sveikatos apsaugai                      </t>
  </si>
  <si>
    <t>2.Bebraviečių ardymo valstybei nuosavybės teise priklausančiuose magistraliniuose melioracijos grioviuose darbų finansavimui</t>
  </si>
  <si>
    <t xml:space="preserve">                                                          Lazdijų rajono savivaldybės tarybos</t>
  </si>
  <si>
    <t xml:space="preserve">                                                          2014 m. vasario 28  d. sprendimo Nr. TS-1011</t>
  </si>
  <si>
    <t xml:space="preserve">                                                          4 priedas</t>
  </si>
  <si>
    <t xml:space="preserve">                                                          redakcija)</t>
  </si>
  <si>
    <t>22.1.</t>
  </si>
  <si>
    <t>107.</t>
  </si>
  <si>
    <t>VšĮ Lazdijų sporto centras</t>
  </si>
  <si>
    <t>108.</t>
  </si>
  <si>
    <t>Socialinio būsto fondo plėtojimas</t>
  </si>
  <si>
    <t xml:space="preserve">VšĮ Lazdijų kultūros centras </t>
  </si>
  <si>
    <t xml:space="preserve">                                             Lazdijų rajono savivaldybės tarybos</t>
  </si>
  <si>
    <t xml:space="preserve">19.1. </t>
  </si>
  <si>
    <t xml:space="preserve">                                               2014 m. rugsėjo         d. sprendimo Nr. 5TS-</t>
  </si>
  <si>
    <t xml:space="preserve">                                iš jų: Veisiejų technologijos ir verslo mokykla</t>
  </si>
  <si>
    <t xml:space="preserve">(2014 m. rugsėjo          d. sprendimo Nr.  </t>
  </si>
  <si>
    <t>(2014 m. rugsėjo        d. sprendimo Nr. 5TS-</t>
  </si>
  <si>
    <t>(2014 m. rugsėjo             d. sprendimo Nr. 5TS-</t>
  </si>
  <si>
    <t xml:space="preserve">(2014 m. liepos 25 d. sprendimo Nr. 5TS-1220 </t>
  </si>
  <si>
    <t xml:space="preserve">                                                          (2014 m. liepos 25 d. sprendimo Nr. 5TS-1220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</si>
</sst>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0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selection activeCell="M39" sqref="M39"/>
    </sheetView>
  </sheetViews>
  <sheetFormatPr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6" customWidth="1"/>
    <col min="9" max="9" width="9.140625" style="16" hidden="1" customWidth="1"/>
    <col min="10" max="10" width="10.140625" style="16" bestFit="1" customWidth="1"/>
    <col min="11" max="11" width="10.140625" style="16" customWidth="1"/>
    <col min="12" max="13" width="9.140625" style="16"/>
    <col min="14" max="14" width="11.5703125" style="16" bestFit="1" customWidth="1"/>
    <col min="15" max="16384" width="9.140625" style="16"/>
  </cols>
  <sheetData>
    <row r="1" spans="1:9" ht="15.75" customHeight="1" x14ac:dyDescent="0.25">
      <c r="F1" s="195" t="s">
        <v>80</v>
      </c>
      <c r="G1" s="195"/>
      <c r="H1" s="195"/>
    </row>
    <row r="2" spans="1:9" ht="15.75" customHeight="1" x14ac:dyDescent="0.25">
      <c r="F2" s="195" t="s">
        <v>462</v>
      </c>
      <c r="G2" s="195"/>
      <c r="H2" s="195"/>
      <c r="I2" s="195"/>
    </row>
    <row r="3" spans="1:9" ht="18" customHeight="1" x14ac:dyDescent="0.25">
      <c r="F3" s="195" t="s">
        <v>107</v>
      </c>
      <c r="G3" s="195"/>
    </row>
    <row r="4" spans="1:9" ht="16.5" customHeight="1" x14ac:dyDescent="0.25">
      <c r="F4" s="182" t="s">
        <v>491</v>
      </c>
      <c r="G4" s="182"/>
    </row>
    <row r="5" spans="1:9" ht="15.75" customHeight="1" x14ac:dyDescent="0.25">
      <c r="F5" s="1" t="s">
        <v>344</v>
      </c>
      <c r="G5" s="1"/>
      <c r="H5" s="1"/>
    </row>
    <row r="6" spans="1:9" ht="20.25" customHeight="1" x14ac:dyDescent="0.25">
      <c r="B6" s="197" t="s">
        <v>405</v>
      </c>
      <c r="C6" s="197"/>
      <c r="D6" s="197"/>
      <c r="E6" s="197"/>
      <c r="F6" s="197"/>
      <c r="G6" s="197"/>
      <c r="H6" s="197"/>
    </row>
    <row r="7" spans="1:9" ht="16.5" customHeight="1" x14ac:dyDescent="0.25">
      <c r="B7" s="200" t="s">
        <v>384</v>
      </c>
      <c r="C7" s="200"/>
      <c r="D7" s="200"/>
      <c r="E7" s="200"/>
      <c r="F7" s="200"/>
      <c r="G7" s="200"/>
      <c r="H7" s="200"/>
    </row>
    <row r="8" spans="1:9" ht="18" customHeight="1" x14ac:dyDescent="0.25">
      <c r="A8" s="4" t="s">
        <v>60</v>
      </c>
      <c r="B8" s="198" t="s">
        <v>7</v>
      </c>
      <c r="C8" s="198"/>
      <c r="D8" s="198"/>
      <c r="E8" s="198"/>
      <c r="F8" s="198"/>
      <c r="G8" s="198"/>
      <c r="H8" s="33" t="s">
        <v>81</v>
      </c>
    </row>
    <row r="9" spans="1:9" ht="18.75" customHeight="1" x14ac:dyDescent="0.25">
      <c r="A9" s="19" t="s">
        <v>37</v>
      </c>
      <c r="B9" s="201" t="s">
        <v>10</v>
      </c>
      <c r="C9" s="202"/>
      <c r="D9" s="202"/>
      <c r="E9" s="202"/>
      <c r="F9" s="202"/>
      <c r="G9" s="203"/>
      <c r="H9" s="18">
        <f>SUM(H10:H18)</f>
        <v>23803000</v>
      </c>
    </row>
    <row r="10" spans="1:9" ht="18" customHeight="1" x14ac:dyDescent="0.25">
      <c r="A10" s="19" t="s">
        <v>61</v>
      </c>
      <c r="B10" s="199" t="s">
        <v>9</v>
      </c>
      <c r="C10" s="199"/>
      <c r="D10" s="199"/>
      <c r="E10" s="199"/>
      <c r="F10" s="199"/>
      <c r="G10" s="199"/>
      <c r="H10" s="22">
        <v>9238000</v>
      </c>
    </row>
    <row r="11" spans="1:9" ht="31.5" customHeight="1" x14ac:dyDescent="0.25">
      <c r="A11" s="37" t="s">
        <v>62</v>
      </c>
      <c r="B11" s="204" t="s">
        <v>84</v>
      </c>
      <c r="C11" s="204"/>
      <c r="D11" s="204"/>
      <c r="E11" s="204"/>
      <c r="F11" s="204"/>
      <c r="G11" s="204"/>
      <c r="H11" s="38">
        <v>4442000</v>
      </c>
    </row>
    <row r="12" spans="1:9" ht="29.25" customHeight="1" x14ac:dyDescent="0.25">
      <c r="A12" s="37" t="s">
        <v>64</v>
      </c>
      <c r="B12" s="204" t="s">
        <v>85</v>
      </c>
      <c r="C12" s="204"/>
      <c r="D12" s="204"/>
      <c r="E12" s="204"/>
      <c r="F12" s="204"/>
      <c r="G12" s="204"/>
      <c r="H12" s="38">
        <v>7598000</v>
      </c>
    </row>
    <row r="13" spans="1:9" ht="18" customHeight="1" x14ac:dyDescent="0.25">
      <c r="A13" s="19" t="s">
        <v>87</v>
      </c>
      <c r="B13" s="199" t="s">
        <v>0</v>
      </c>
      <c r="C13" s="199"/>
      <c r="D13" s="199"/>
      <c r="E13" s="199"/>
      <c r="F13" s="199"/>
      <c r="G13" s="199"/>
      <c r="H13" s="4">
        <v>430000</v>
      </c>
    </row>
    <row r="14" spans="1:9" ht="18" customHeight="1" x14ac:dyDescent="0.25">
      <c r="A14" s="19" t="s">
        <v>88</v>
      </c>
      <c r="B14" s="199" t="s">
        <v>1</v>
      </c>
      <c r="C14" s="199"/>
      <c r="D14" s="199"/>
      <c r="E14" s="199"/>
      <c r="F14" s="199"/>
      <c r="G14" s="199"/>
      <c r="H14" s="4">
        <v>320000</v>
      </c>
    </row>
    <row r="15" spans="1:9" ht="18" customHeight="1" x14ac:dyDescent="0.25">
      <c r="A15" s="19" t="s">
        <v>89</v>
      </c>
      <c r="B15" s="199" t="s">
        <v>75</v>
      </c>
      <c r="C15" s="199"/>
      <c r="D15" s="199"/>
      <c r="E15" s="199"/>
      <c r="F15" s="199"/>
      <c r="G15" s="199"/>
      <c r="H15" s="4">
        <v>20000</v>
      </c>
    </row>
    <row r="16" spans="1:9" ht="18" customHeight="1" x14ac:dyDescent="0.25">
      <c r="A16" s="19" t="s">
        <v>90</v>
      </c>
      <c r="B16" s="196" t="s">
        <v>76</v>
      </c>
      <c r="C16" s="196"/>
      <c r="D16" s="196"/>
      <c r="E16" s="196"/>
      <c r="F16" s="196"/>
      <c r="G16" s="196"/>
      <c r="H16" s="22">
        <v>50000</v>
      </c>
    </row>
    <row r="17" spans="1:8" ht="18" customHeight="1" x14ac:dyDescent="0.25">
      <c r="A17" s="19" t="s">
        <v>91</v>
      </c>
      <c r="B17" s="196" t="s">
        <v>3</v>
      </c>
      <c r="C17" s="196"/>
      <c r="D17" s="196"/>
      <c r="E17" s="196"/>
      <c r="F17" s="196"/>
      <c r="G17" s="196"/>
      <c r="H17" s="22">
        <v>90000</v>
      </c>
    </row>
    <row r="18" spans="1:8" ht="18.75" customHeight="1" x14ac:dyDescent="0.25">
      <c r="A18" s="19" t="s">
        <v>92</v>
      </c>
      <c r="B18" s="196" t="s">
        <v>110</v>
      </c>
      <c r="C18" s="196"/>
      <c r="D18" s="196"/>
      <c r="E18" s="196"/>
      <c r="F18" s="196"/>
      <c r="G18" s="196"/>
      <c r="H18" s="22">
        <v>1615000</v>
      </c>
    </row>
    <row r="19" spans="1:8" ht="18" customHeight="1" x14ac:dyDescent="0.25">
      <c r="A19" s="19" t="s">
        <v>111</v>
      </c>
      <c r="B19" s="196" t="s">
        <v>112</v>
      </c>
      <c r="C19" s="196"/>
      <c r="D19" s="196"/>
      <c r="E19" s="196"/>
      <c r="F19" s="196"/>
      <c r="G19" s="196"/>
      <c r="H19" s="22">
        <v>1600000</v>
      </c>
    </row>
    <row r="20" spans="1:8" ht="18" customHeight="1" x14ac:dyDescent="0.25">
      <c r="A20" s="19" t="s">
        <v>38</v>
      </c>
      <c r="B20" s="201" t="s">
        <v>11</v>
      </c>
      <c r="C20" s="202"/>
      <c r="D20" s="202"/>
      <c r="E20" s="202"/>
      <c r="F20" s="202"/>
      <c r="G20" s="203"/>
      <c r="H20" s="18">
        <f>SUM(H22:H27)</f>
        <v>40700969</v>
      </c>
    </row>
    <row r="21" spans="1:8" ht="18" customHeight="1" x14ac:dyDescent="0.25">
      <c r="A21" s="19" t="s">
        <v>63</v>
      </c>
      <c r="B21" s="196" t="s">
        <v>86</v>
      </c>
      <c r="C21" s="196"/>
      <c r="D21" s="196"/>
      <c r="E21" s="196"/>
      <c r="F21" s="196"/>
      <c r="G21" s="196"/>
      <c r="H21" s="22">
        <f>SUM(H22:H24)</f>
        <v>22426786</v>
      </c>
    </row>
    <row r="22" spans="1:8" ht="18" customHeight="1" x14ac:dyDescent="0.25">
      <c r="A22" s="19" t="s">
        <v>93</v>
      </c>
      <c r="B22" s="196" t="s">
        <v>36</v>
      </c>
      <c r="C22" s="196"/>
      <c r="D22" s="196"/>
      <c r="E22" s="196"/>
      <c r="F22" s="196"/>
      <c r="G22" s="196"/>
      <c r="H22" s="22">
        <v>7075786</v>
      </c>
    </row>
    <row r="23" spans="1:8" ht="18" customHeight="1" x14ac:dyDescent="0.25">
      <c r="A23" s="19" t="s">
        <v>94</v>
      </c>
      <c r="B23" s="196" t="s">
        <v>77</v>
      </c>
      <c r="C23" s="196"/>
      <c r="D23" s="196"/>
      <c r="E23" s="196"/>
      <c r="F23" s="196"/>
      <c r="G23" s="196"/>
      <c r="H23" s="46">
        <v>13777000</v>
      </c>
    </row>
    <row r="24" spans="1:8" ht="18" customHeight="1" x14ac:dyDescent="0.25">
      <c r="A24" s="19" t="s">
        <v>349</v>
      </c>
      <c r="B24" s="205" t="s">
        <v>412</v>
      </c>
      <c r="C24" s="206"/>
      <c r="D24" s="206"/>
      <c r="E24" s="206"/>
      <c r="F24" s="206"/>
      <c r="G24" s="207"/>
      <c r="H24" s="22">
        <v>1574000</v>
      </c>
    </row>
    <row r="25" spans="1:8" ht="18" customHeight="1" x14ac:dyDescent="0.25">
      <c r="A25" s="19" t="s">
        <v>65</v>
      </c>
      <c r="B25" s="205" t="s">
        <v>320</v>
      </c>
      <c r="C25" s="206"/>
      <c r="D25" s="206"/>
      <c r="E25" s="206"/>
      <c r="F25" s="206"/>
      <c r="G25" s="207"/>
      <c r="H25" s="22">
        <v>7566000</v>
      </c>
    </row>
    <row r="26" spans="1:8" ht="18" customHeight="1" x14ac:dyDescent="0.25">
      <c r="A26" s="19" t="s">
        <v>351</v>
      </c>
      <c r="B26" s="205" t="s">
        <v>329</v>
      </c>
      <c r="C26" s="206"/>
      <c r="D26" s="206"/>
      <c r="E26" s="206"/>
      <c r="F26" s="206"/>
      <c r="G26" s="207"/>
      <c r="H26" s="142">
        <v>10701163</v>
      </c>
    </row>
    <row r="27" spans="1:8" ht="18" customHeight="1" x14ac:dyDescent="0.25">
      <c r="A27" s="19" t="s">
        <v>366</v>
      </c>
      <c r="B27" s="205" t="s">
        <v>367</v>
      </c>
      <c r="C27" s="206"/>
      <c r="D27" s="206"/>
      <c r="E27" s="206"/>
      <c r="F27" s="206"/>
      <c r="G27" s="207"/>
      <c r="H27" s="47">
        <v>7020</v>
      </c>
    </row>
    <row r="28" spans="1:8" ht="18.75" customHeight="1" x14ac:dyDescent="0.25">
      <c r="A28" s="19" t="s">
        <v>39</v>
      </c>
      <c r="B28" s="201" t="s">
        <v>21</v>
      </c>
      <c r="C28" s="202"/>
      <c r="D28" s="202"/>
      <c r="E28" s="202"/>
      <c r="F28" s="202"/>
      <c r="G28" s="203"/>
      <c r="H28" s="18">
        <f>SUM(H29:H37)</f>
        <v>792000</v>
      </c>
    </row>
    <row r="29" spans="1:8" ht="17.25" customHeight="1" x14ac:dyDescent="0.25">
      <c r="A29" s="21" t="s">
        <v>68</v>
      </c>
      <c r="B29" s="228" t="s">
        <v>32</v>
      </c>
      <c r="C29" s="228"/>
      <c r="D29" s="228"/>
      <c r="E29" s="228"/>
      <c r="F29" s="228"/>
      <c r="G29" s="229"/>
      <c r="H29" s="4">
        <v>20000</v>
      </c>
    </row>
    <row r="30" spans="1:8" ht="15.75" customHeight="1" x14ac:dyDescent="0.25">
      <c r="A30" s="39" t="s">
        <v>66</v>
      </c>
      <c r="B30" s="223" t="s">
        <v>33</v>
      </c>
      <c r="C30" s="224"/>
      <c r="D30" s="224"/>
      <c r="E30" s="224"/>
      <c r="F30" s="224"/>
      <c r="G30" s="224"/>
      <c r="H30" s="221">
        <v>180000</v>
      </c>
    </row>
    <row r="31" spans="1:8" ht="15.75" customHeight="1" x14ac:dyDescent="0.25">
      <c r="A31" s="40"/>
      <c r="B31" s="225" t="s">
        <v>343</v>
      </c>
      <c r="C31" s="226"/>
      <c r="D31" s="226"/>
      <c r="E31" s="226"/>
      <c r="F31" s="226"/>
      <c r="G31" s="226"/>
      <c r="H31" s="222"/>
    </row>
    <row r="32" spans="1:8" ht="16.5" customHeight="1" x14ac:dyDescent="0.25">
      <c r="A32" s="20" t="s">
        <v>67</v>
      </c>
      <c r="B32" s="212" t="s">
        <v>78</v>
      </c>
      <c r="C32" s="212"/>
      <c r="D32" s="212"/>
      <c r="E32" s="212"/>
      <c r="F32" s="212"/>
      <c r="G32" s="213"/>
      <c r="H32" s="22">
        <v>60000</v>
      </c>
    </row>
    <row r="33" spans="1:12" ht="16.5" customHeight="1" x14ac:dyDescent="0.25">
      <c r="A33" s="19" t="s">
        <v>95</v>
      </c>
      <c r="B33" s="196" t="s">
        <v>34</v>
      </c>
      <c r="C33" s="196"/>
      <c r="D33" s="196"/>
      <c r="E33" s="196"/>
      <c r="F33" s="196"/>
      <c r="G33" s="196"/>
      <c r="H33" s="142">
        <v>40000</v>
      </c>
    </row>
    <row r="34" spans="1:12" ht="16.5" customHeight="1" x14ac:dyDescent="0.25">
      <c r="A34" s="166" t="s">
        <v>96</v>
      </c>
      <c r="B34" s="227" t="s">
        <v>35</v>
      </c>
      <c r="C34" s="227"/>
      <c r="D34" s="227"/>
      <c r="E34" s="227"/>
      <c r="F34" s="227"/>
      <c r="G34" s="227"/>
      <c r="H34" s="47">
        <v>79000</v>
      </c>
    </row>
    <row r="35" spans="1:12" ht="16.5" customHeight="1" x14ac:dyDescent="0.25">
      <c r="A35" s="19" t="s">
        <v>97</v>
      </c>
      <c r="B35" s="196" t="s">
        <v>79</v>
      </c>
      <c r="C35" s="196"/>
      <c r="D35" s="196"/>
      <c r="E35" s="196"/>
      <c r="F35" s="196"/>
      <c r="G35" s="196"/>
      <c r="H35" s="142">
        <v>393000</v>
      </c>
    </row>
    <row r="36" spans="1:12" ht="16.5" customHeight="1" x14ac:dyDescent="0.25">
      <c r="A36" s="19" t="s">
        <v>98</v>
      </c>
      <c r="B36" s="196" t="s">
        <v>21</v>
      </c>
      <c r="C36" s="196"/>
      <c r="D36" s="196"/>
      <c r="E36" s="196"/>
      <c r="F36" s="196"/>
      <c r="G36" s="196"/>
      <c r="H36" s="142">
        <v>10000</v>
      </c>
    </row>
    <row r="37" spans="1:12" ht="19.5" customHeight="1" x14ac:dyDescent="0.25">
      <c r="A37" s="19" t="s">
        <v>99</v>
      </c>
      <c r="B37" s="196" t="s">
        <v>2</v>
      </c>
      <c r="C37" s="196"/>
      <c r="D37" s="196"/>
      <c r="E37" s="196"/>
      <c r="F37" s="196"/>
      <c r="G37" s="196"/>
      <c r="H37" s="142">
        <v>10000</v>
      </c>
    </row>
    <row r="38" spans="1:12" ht="19.5" customHeight="1" x14ac:dyDescent="0.25">
      <c r="A38" s="19" t="s">
        <v>40</v>
      </c>
      <c r="B38" s="211" t="s">
        <v>12</v>
      </c>
      <c r="C38" s="211"/>
      <c r="D38" s="211"/>
      <c r="E38" s="211"/>
      <c r="F38" s="211"/>
      <c r="G38" s="211"/>
      <c r="H38" s="143">
        <v>35000</v>
      </c>
      <c r="I38" s="41"/>
      <c r="J38" s="41"/>
      <c r="K38" s="41"/>
      <c r="L38" s="41"/>
    </row>
    <row r="39" spans="1:12" ht="18" customHeight="1" x14ac:dyDescent="0.25">
      <c r="A39" s="19" t="s">
        <v>41</v>
      </c>
      <c r="B39" s="201" t="s">
        <v>408</v>
      </c>
      <c r="C39" s="202"/>
      <c r="D39" s="202"/>
      <c r="E39" s="202"/>
      <c r="F39" s="202"/>
      <c r="G39" s="203"/>
      <c r="H39" s="143">
        <f>SUM(H9+H20+H28+H38)</f>
        <v>65330969</v>
      </c>
    </row>
    <row r="40" spans="1:12" ht="18.75" customHeight="1" x14ac:dyDescent="0.25">
      <c r="A40" s="19" t="s">
        <v>42</v>
      </c>
      <c r="B40" s="208" t="s">
        <v>409</v>
      </c>
      <c r="C40" s="209"/>
      <c r="D40" s="209"/>
      <c r="E40" s="209"/>
      <c r="F40" s="209"/>
      <c r="G40" s="210"/>
      <c r="H40" s="165">
        <v>695797</v>
      </c>
    </row>
    <row r="41" spans="1:12" ht="17.25" customHeight="1" x14ac:dyDescent="0.25">
      <c r="A41" s="19" t="s">
        <v>385</v>
      </c>
      <c r="B41" s="218" t="s">
        <v>352</v>
      </c>
      <c r="C41" s="219"/>
      <c r="D41" s="219"/>
      <c r="E41" s="219"/>
      <c r="F41" s="219"/>
      <c r="G41" s="220"/>
      <c r="H41" s="18">
        <f>SUM(H39:H40)</f>
        <v>66026766</v>
      </c>
    </row>
    <row r="42" spans="1:12" ht="18" hidden="1" customHeight="1" x14ac:dyDescent="0.25">
      <c r="A42" s="19" t="s">
        <v>44</v>
      </c>
      <c r="B42" s="208" t="s">
        <v>368</v>
      </c>
      <c r="C42" s="209"/>
      <c r="D42" s="209"/>
      <c r="E42" s="209"/>
      <c r="F42" s="209"/>
      <c r="G42" s="210"/>
      <c r="H42" s="46"/>
    </row>
    <row r="43" spans="1:12" ht="16.5" customHeight="1" x14ac:dyDescent="0.25">
      <c r="A43" s="166" t="s">
        <v>44</v>
      </c>
      <c r="B43" s="215" t="s">
        <v>350</v>
      </c>
      <c r="C43" s="216"/>
      <c r="D43" s="216"/>
      <c r="E43" s="216"/>
      <c r="F43" s="216"/>
      <c r="G43" s="217"/>
      <c r="H43" s="46">
        <v>3944254</v>
      </c>
    </row>
    <row r="44" spans="1:12" s="178" customFormat="1" ht="16.5" customHeight="1" x14ac:dyDescent="0.25">
      <c r="A44" s="166" t="s">
        <v>410</v>
      </c>
      <c r="B44" s="214" t="s">
        <v>353</v>
      </c>
      <c r="C44" s="214"/>
      <c r="D44" s="214"/>
      <c r="E44" s="214"/>
      <c r="F44" s="214"/>
      <c r="G44" s="214"/>
      <c r="H44" s="176">
        <f>SUM(H39:H40,H43,H42)</f>
        <v>69971020</v>
      </c>
    </row>
  </sheetData>
  <mergeCells count="43">
    <mergeCell ref="H30:H31"/>
    <mergeCell ref="B35:G35"/>
    <mergeCell ref="B27:G27"/>
    <mergeCell ref="B26:G26"/>
    <mergeCell ref="B10:G10"/>
    <mergeCell ref="B25:G25"/>
    <mergeCell ref="B30:G30"/>
    <mergeCell ref="B15:G15"/>
    <mergeCell ref="B31:G31"/>
    <mergeCell ref="B34:G34"/>
    <mergeCell ref="B22:G22"/>
    <mergeCell ref="B29:G29"/>
    <mergeCell ref="B23:G23"/>
    <mergeCell ref="B11:G11"/>
    <mergeCell ref="B33:G33"/>
    <mergeCell ref="B18:G18"/>
    <mergeCell ref="B44:G44"/>
    <mergeCell ref="B36:G36"/>
    <mergeCell ref="B43:G43"/>
    <mergeCell ref="B37:G37"/>
    <mergeCell ref="B42:G42"/>
    <mergeCell ref="B41:G41"/>
    <mergeCell ref="B28:G28"/>
    <mergeCell ref="B24:G24"/>
    <mergeCell ref="B40:G40"/>
    <mergeCell ref="B38:G38"/>
    <mergeCell ref="B39:G39"/>
    <mergeCell ref="B32:G32"/>
    <mergeCell ref="B19:G19"/>
    <mergeCell ref="B9:G9"/>
    <mergeCell ref="B21:G21"/>
    <mergeCell ref="B13:G13"/>
    <mergeCell ref="B12:G12"/>
    <mergeCell ref="B20:G20"/>
    <mergeCell ref="F1:H1"/>
    <mergeCell ref="F2:I2"/>
    <mergeCell ref="F3:G3"/>
    <mergeCell ref="B17:G17"/>
    <mergeCell ref="B6:H6"/>
    <mergeCell ref="B16:G16"/>
    <mergeCell ref="B8:G8"/>
    <mergeCell ref="B14:G14"/>
    <mergeCell ref="B7:H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7"/>
  <sheetViews>
    <sheetView showZeros="0" workbookViewId="0">
      <selection activeCell="L12" sqref="L12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</cols>
  <sheetData>
    <row r="1" spans="1:13" ht="17.25" customHeight="1" x14ac:dyDescent="0.25">
      <c r="A1" s="16"/>
      <c r="B1" s="16"/>
      <c r="C1" s="195" t="s">
        <v>80</v>
      </c>
      <c r="D1" s="195"/>
      <c r="E1" s="195"/>
      <c r="F1" s="16"/>
    </row>
    <row r="2" spans="1:13" ht="15.75" customHeight="1" x14ac:dyDescent="0.25">
      <c r="A2" s="16"/>
      <c r="B2" s="16"/>
      <c r="C2" s="195" t="s">
        <v>462</v>
      </c>
      <c r="D2" s="195"/>
      <c r="E2" s="195"/>
      <c r="F2" s="195"/>
    </row>
    <row r="3" spans="1:13" ht="15.75" customHeight="1" x14ac:dyDescent="0.25">
      <c r="A3" s="16"/>
      <c r="B3" s="16"/>
      <c r="C3" s="195" t="s">
        <v>396</v>
      </c>
      <c r="D3" s="195"/>
      <c r="E3" s="36"/>
      <c r="F3" s="16"/>
    </row>
    <row r="4" spans="1:13" ht="13.5" hidden="1" customHeight="1" x14ac:dyDescent="0.25">
      <c r="A4" s="16"/>
      <c r="B4" s="16"/>
      <c r="C4" s="182" t="s">
        <v>461</v>
      </c>
      <c r="D4" s="182"/>
      <c r="E4" s="36"/>
      <c r="F4" s="16"/>
    </row>
    <row r="5" spans="1:13" ht="14.25" hidden="1" customHeight="1" x14ac:dyDescent="0.25">
      <c r="A5" s="16"/>
      <c r="B5" s="16"/>
      <c r="C5" s="1" t="s">
        <v>344</v>
      </c>
      <c r="D5" s="1"/>
      <c r="E5" s="1"/>
      <c r="F5" s="16"/>
    </row>
    <row r="6" spans="1:13" ht="13.5" customHeight="1" x14ac:dyDescent="0.25">
      <c r="A6" s="16"/>
      <c r="B6" s="16"/>
      <c r="C6" s="182" t="s">
        <v>492</v>
      </c>
      <c r="D6" s="182"/>
      <c r="E6" s="36"/>
      <c r="F6" s="16"/>
    </row>
    <row r="7" spans="1:13" ht="13.5" customHeight="1" x14ac:dyDescent="0.25">
      <c r="A7" s="16"/>
      <c r="B7" s="16"/>
      <c r="C7" s="1" t="s">
        <v>344</v>
      </c>
      <c r="D7" s="1"/>
      <c r="E7" s="1"/>
      <c r="F7" s="16"/>
    </row>
    <row r="8" spans="1:13" ht="18" customHeight="1" x14ac:dyDescent="0.25">
      <c r="A8" s="197" t="s">
        <v>406</v>
      </c>
      <c r="B8" s="197"/>
      <c r="C8" s="197"/>
      <c r="D8" s="197"/>
      <c r="E8" s="197"/>
      <c r="F8" s="197"/>
    </row>
    <row r="9" spans="1:13" ht="17.25" customHeight="1" x14ac:dyDescent="0.25">
      <c r="A9" s="16"/>
      <c r="B9" s="197" t="s">
        <v>249</v>
      </c>
      <c r="C9" s="197"/>
      <c r="D9" s="197"/>
      <c r="E9" s="197"/>
      <c r="F9" s="197"/>
    </row>
    <row r="10" spans="1:13" ht="12.75" customHeight="1" x14ac:dyDescent="0.25">
      <c r="A10" s="16"/>
      <c r="B10" s="236" t="s">
        <v>124</v>
      </c>
      <c r="C10" s="236"/>
      <c r="D10" s="236"/>
      <c r="E10" s="236"/>
      <c r="F10" s="236"/>
    </row>
    <row r="11" spans="1:13" ht="13.5" customHeight="1" x14ac:dyDescent="0.2">
      <c r="A11" s="230" t="s">
        <v>60</v>
      </c>
      <c r="B11" s="230" t="s">
        <v>251</v>
      </c>
      <c r="C11" s="230" t="s">
        <v>126</v>
      </c>
      <c r="D11" s="233" t="s">
        <v>152</v>
      </c>
      <c r="E11" s="234"/>
      <c r="F11" s="235"/>
    </row>
    <row r="12" spans="1:13" ht="13.5" customHeight="1" x14ac:dyDescent="0.2">
      <c r="A12" s="231"/>
      <c r="B12" s="231"/>
      <c r="C12" s="231"/>
      <c r="D12" s="233" t="s">
        <v>108</v>
      </c>
      <c r="E12" s="235"/>
      <c r="F12" s="230" t="s">
        <v>330</v>
      </c>
    </row>
    <row r="13" spans="1:13" ht="12.75" customHeight="1" x14ac:dyDescent="0.2">
      <c r="A13" s="231"/>
      <c r="B13" s="231"/>
      <c r="C13" s="231"/>
      <c r="D13" s="230" t="s">
        <v>4</v>
      </c>
      <c r="E13" s="230" t="s">
        <v>109</v>
      </c>
      <c r="F13" s="231"/>
    </row>
    <row r="14" spans="1:13" ht="66" customHeight="1" x14ac:dyDescent="0.2">
      <c r="A14" s="232"/>
      <c r="B14" s="232"/>
      <c r="C14" s="232"/>
      <c r="D14" s="232"/>
      <c r="E14" s="232"/>
      <c r="F14" s="232"/>
      <c r="M14" s="135"/>
    </row>
    <row r="15" spans="1:13" ht="13.5" customHeight="1" x14ac:dyDescent="0.25">
      <c r="A15" s="19" t="s">
        <v>37</v>
      </c>
      <c r="B15" s="3" t="s">
        <v>8</v>
      </c>
      <c r="C15" s="115">
        <f>SUM(D15,F15)</f>
        <v>31891075</v>
      </c>
      <c r="D15" s="120">
        <f>SUM('sav.f. 3 '!G15,'sav.f. 3 '!G18:G22,'sav.f. 3 '!G24,'sav.f. 3 '!G25,'sav.f. 3 '!G26:G30,'sav.f. 3 '!G32:G37, 'sav.f. 3 '!G38,'sav.f. 3 '!G54:G57,'sav.f. 3 '!G72:G76,'sav.f. 3 '!G78:G81,'sav.f. 3 '!G85:G87,'sav.f. 3 '!G105:G110,'sav.f. 3 '!G112:G124,'Valst.f. 4'!G14:G30,'Valst.f. 4'!G34,'Valst.f. 4'!G52,'Valst.f. 4'!G54,'Valst.f. 4'!G56:G57,'Valst.f. 4'!G60:G61,AARP.6!I41,'MK 5'!G30,'MK 5'!G31)</f>
        <v>25422438</v>
      </c>
      <c r="E15" s="120">
        <f>SUM('sav.f. 3 '!H15,'sav.f. 3 '!H18:H22,'sav.f. 3 '!H24,'sav.f. 3 '!H25,'sav.f. 3 '!H26:H30,'sav.f. 3 '!H32:H37, 'sav.f. 3 '!H38,'sav.f. 3 '!H54:H57,'sav.f. 3 '!H72:H76,'sav.f. 3 '!H78:H81,'sav.f. 3 '!H85:H87,'sav.f. 3 '!H105:H110,'sav.f. 3 '!H112:H124,'Valst.f. 4'!H14:H30,'Valst.f. 4'!H34,'Valst.f. 4'!H52,'Valst.f. 4'!H54,'Valst.f. 4'!H56:H57,'Valst.f. 4'!H60:H61,AARP.6!J41,'MK 5'!H31,'MK 5'!H31)</f>
        <v>4875790</v>
      </c>
      <c r="F15" s="120">
        <f>SUM('sav.f. 3 '!I15,'sav.f. 3 '!I18:I22,'sav.f. 3 '!I24,'sav.f. 3 '!I25,'sav.f. 3 '!I26:I30,'sav.f. 3 '!I32:I37, 'sav.f. 3 '!I38,'sav.f. 3 '!I54:I57,'sav.f. 3 '!I72:I76,'sav.f. 3 '!I78:I81,'sav.f. 3 '!I85:I87,'sav.f. 3 '!I105:I110,'sav.f. 3 '!I112:I124,'Valst.f. 4'!I14:I30,'Valst.f. 4'!I34,'Valst.f. 4'!I52,'Valst.f. 4'!I54,'Valst.f. 4'!I56:I57,'Valst.f. 4'!I60:I61,AARP.6!K41,'MK 5'!I31,'MK 5'!I31)</f>
        <v>6468637</v>
      </c>
    </row>
    <row r="16" spans="1:13" ht="14.25" customHeight="1" x14ac:dyDescent="0.25">
      <c r="A16" s="19" t="s">
        <v>38</v>
      </c>
      <c r="B16" s="3" t="s">
        <v>196</v>
      </c>
      <c r="C16" s="116">
        <f>SUM(D16,F16)</f>
        <v>181200</v>
      </c>
      <c r="D16" s="45">
        <f>SUM('sav.f. 3 '!G17)</f>
        <v>181200</v>
      </c>
      <c r="E16" s="45">
        <f>SUM('sav.f. 3 '!H17)</f>
        <v>125000</v>
      </c>
      <c r="F16" s="45">
        <f>SUM('sav.f. 3 '!I17)</f>
        <v>0</v>
      </c>
      <c r="I16" s="23"/>
    </row>
    <row r="17" spans="1:6" ht="14.25" customHeight="1" x14ac:dyDescent="0.25">
      <c r="A17" s="19" t="s">
        <v>39</v>
      </c>
      <c r="B17" s="11" t="s">
        <v>369</v>
      </c>
      <c r="C17" s="116">
        <f t="shared" ref="C17:C52" si="0">SUM(D17,F17)</f>
        <v>1634096</v>
      </c>
      <c r="D17" s="45">
        <f>SUM('sav.f. 3 '!G88+'Valst.f. 4'!G36+'MK 5'!G13+Spec.7!G13)</f>
        <v>1634096</v>
      </c>
      <c r="E17" s="45">
        <f>SUM('sav.f. 3 '!H88+'Valst.f. 4'!H36+'MK 5'!H13+Spec.7!H13)</f>
        <v>1016070</v>
      </c>
      <c r="F17" s="45">
        <f>SUM(,'MK 5'!I13)</f>
        <v>0</v>
      </c>
    </row>
    <row r="18" spans="1:6" ht="14.25" customHeight="1" x14ac:dyDescent="0.25">
      <c r="A18" s="19" t="s">
        <v>40</v>
      </c>
      <c r="B18" s="3" t="s">
        <v>370</v>
      </c>
      <c r="C18" s="116">
        <f t="shared" si="0"/>
        <v>1563956</v>
      </c>
      <c r="D18" s="45">
        <f>SUM('sav.f. 3 '!G89+'Valst.f. 4'!G37+'MK 5'!G14+Spec.7!G14)</f>
        <v>1563956</v>
      </c>
      <c r="E18" s="45">
        <f>SUM('sav.f. 3 '!H89+'Valst.f. 4'!H37+'MK 5'!H14+Spec.7!H14)</f>
        <v>957470</v>
      </c>
      <c r="F18" s="45">
        <f>SUM(,'MK 5'!I14)</f>
        <v>0</v>
      </c>
    </row>
    <row r="19" spans="1:6" ht="14.25" customHeight="1" x14ac:dyDescent="0.25">
      <c r="A19" s="19" t="s">
        <v>41</v>
      </c>
      <c r="B19" s="3" t="s">
        <v>371</v>
      </c>
      <c r="C19" s="116">
        <f t="shared" si="0"/>
        <v>232600</v>
      </c>
      <c r="D19" s="45">
        <f>SUM('sav.f. 3 '!G90+'Valst.f. 4'!G38+'MK 5'!G15+Spec.7!G11)</f>
        <v>232600</v>
      </c>
      <c r="E19" s="45">
        <f>SUM('sav.f. 3 '!H90+'Valst.f. 4'!H38+'MK 5'!H15+Spec.7!H11)</f>
        <v>143770</v>
      </c>
      <c r="F19" s="45">
        <f>SUM('sav.f. 3 '!I90+'Valst.f. 4'!I38+Spec.7!I11)</f>
        <v>0</v>
      </c>
    </row>
    <row r="20" spans="1:6" ht="15" customHeight="1" x14ac:dyDescent="0.25">
      <c r="A20" s="19" t="s">
        <v>42</v>
      </c>
      <c r="B20" s="3" t="s">
        <v>372</v>
      </c>
      <c r="C20" s="116">
        <f t="shared" si="0"/>
        <v>637778</v>
      </c>
      <c r="D20" s="45">
        <f>SUM('sav.f. 3 '!G91+'Valst.f. 4'!G39+'MK 5'!G16+Spec.7!G12)</f>
        <v>637778</v>
      </c>
      <c r="E20" s="45">
        <f>SUM('sav.f. 3 '!H91+'Valst.f. 4'!H39+'MK 5'!H16+Spec.7!H12)</f>
        <v>386980</v>
      </c>
      <c r="F20" s="45">
        <f>SUM('sav.f. 3 '!I91+'Valst.f. 4'!I39+Spec.7!I12)</f>
        <v>0</v>
      </c>
    </row>
    <row r="21" spans="1:6" ht="14.25" customHeight="1" x14ac:dyDescent="0.25">
      <c r="A21" s="19" t="s">
        <v>43</v>
      </c>
      <c r="B21" s="3" t="s">
        <v>373</v>
      </c>
      <c r="C21" s="116">
        <f t="shared" si="0"/>
        <v>1433690</v>
      </c>
      <c r="D21" s="45">
        <f>SUM('sav.f. 3 '!G92+'Valst.f. 4'!G40+'MK 5'!G17)</f>
        <v>752090</v>
      </c>
      <c r="E21" s="45">
        <f>SUM('sav.f. 3 '!H92+'Valst.f. 4'!H40+'MK 5'!H17)</f>
        <v>471180</v>
      </c>
      <c r="F21" s="45">
        <f>SUM('sav.f. 3 '!I92+'Valst.f. 4'!I40+'MK 5'!I17)</f>
        <v>681600</v>
      </c>
    </row>
    <row r="22" spans="1:6" ht="14.25" customHeight="1" x14ac:dyDescent="0.25">
      <c r="A22" s="19" t="s">
        <v>44</v>
      </c>
      <c r="B22" s="3" t="s">
        <v>374</v>
      </c>
      <c r="C22" s="116">
        <f t="shared" si="0"/>
        <v>593180</v>
      </c>
      <c r="D22" s="45">
        <f>SUM('sav.f. 3 '!G93+'Valst.f. 4'!G41+'MK 5'!G18)</f>
        <v>593180</v>
      </c>
      <c r="E22" s="45">
        <f>SUM('sav.f. 3 '!H93+'Valst.f. 4'!H41+'MK 5'!H18)</f>
        <v>407120</v>
      </c>
      <c r="F22" s="45">
        <f>SUM('sav.f. 3 '!I93+'Valst.f. 4'!I41+'MK 5'!I18)</f>
        <v>0</v>
      </c>
    </row>
    <row r="23" spans="1:6" ht="14.25" customHeight="1" x14ac:dyDescent="0.25">
      <c r="A23" s="19" t="s">
        <v>45</v>
      </c>
      <c r="B23" s="3" t="s">
        <v>375</v>
      </c>
      <c r="C23" s="116">
        <f t="shared" si="0"/>
        <v>1038378</v>
      </c>
      <c r="D23" s="45">
        <f>SUM('sav.f. 3 '!G94+'Valst.f. 4'!G42+'MK 5'!G19)</f>
        <v>1030878</v>
      </c>
      <c r="E23" s="45">
        <f>SUM('sav.f. 3 '!H94+'Valst.f. 4'!H42+'MK 5'!H19)</f>
        <v>618280</v>
      </c>
      <c r="F23" s="45">
        <f>SUM('sav.f. 3 '!I94+'Valst.f. 4'!I42+'MK 5'!I19)</f>
        <v>7500</v>
      </c>
    </row>
    <row r="24" spans="1:6" ht="14.25" customHeight="1" x14ac:dyDescent="0.25">
      <c r="A24" s="19" t="s">
        <v>46</v>
      </c>
      <c r="B24" s="2" t="s">
        <v>376</v>
      </c>
      <c r="C24" s="116">
        <f t="shared" si="0"/>
        <v>1060497</v>
      </c>
      <c r="D24" s="45">
        <f>SUM('sav.f. 3 '!G95+'Valst.f. 4'!G43+'MK 5'!G20+Spec.7!G21)</f>
        <v>1037887</v>
      </c>
      <c r="E24" s="45">
        <f>SUM('sav.f. 3 '!H95+'Valst.f. 4'!H43+'MK 5'!H20+Spec.7!H21)</f>
        <v>658980</v>
      </c>
      <c r="F24" s="45">
        <f>SUM('sav.f. 3 '!I95+'Valst.f. 4'!I43+'MK 5'!I20)</f>
        <v>22610</v>
      </c>
    </row>
    <row r="25" spans="1:6" ht="14.25" customHeight="1" x14ac:dyDescent="0.25">
      <c r="A25" s="19" t="s">
        <v>47</v>
      </c>
      <c r="B25" s="2" t="s">
        <v>377</v>
      </c>
      <c r="C25" s="116">
        <f t="shared" si="0"/>
        <v>775159</v>
      </c>
      <c r="D25" s="45">
        <f>SUM('sav.f. 3 '!G96+'Valst.f. 4'!G44+'MK 5'!G21+Spec.7!G20)</f>
        <v>772959</v>
      </c>
      <c r="E25" s="45">
        <f>SUM('sav.f. 3 '!H96+'Valst.f. 4'!H44+'MK 5'!H21+Spec.7!H20)</f>
        <v>510480</v>
      </c>
      <c r="F25" s="45">
        <f>SUM('sav.f. 3 '!I96+'Valst.f. 4'!I44+'MK 5'!I21)</f>
        <v>2200</v>
      </c>
    </row>
    <row r="26" spans="1:6" ht="14.25" customHeight="1" x14ac:dyDescent="0.25">
      <c r="A26" s="19" t="s">
        <v>48</v>
      </c>
      <c r="B26" s="2" t="s">
        <v>378</v>
      </c>
      <c r="C26" s="116">
        <f t="shared" si="0"/>
        <v>674670</v>
      </c>
      <c r="D26" s="45">
        <f>SUM('sav.f. 3 '!G97+'Valst.f. 4'!G45+'MK 5'!G22)</f>
        <v>674670</v>
      </c>
      <c r="E26" s="45">
        <f>SUM('sav.f. 3 '!H97+'Valst.f. 4'!H45+'MK 5'!H22)</f>
        <v>446020</v>
      </c>
      <c r="F26" s="45">
        <f>SUM('sav.f. 3 '!I97+'Valst.f. 4'!I45+'MK 5'!I22)</f>
        <v>0</v>
      </c>
    </row>
    <row r="27" spans="1:6" ht="14.25" customHeight="1" x14ac:dyDescent="0.25">
      <c r="A27" s="19" t="s">
        <v>49</v>
      </c>
      <c r="B27" s="4" t="s">
        <v>379</v>
      </c>
      <c r="C27" s="116">
        <f t="shared" si="0"/>
        <v>1250240</v>
      </c>
      <c r="D27" s="45">
        <f>SUM('sav.f. 3 '!G98+'Valst.f. 4'!G46+'MK 5'!G23+Spec.7!G18)</f>
        <v>1250240</v>
      </c>
      <c r="E27" s="45">
        <f>SUM('sav.f. 3 '!H98+'Valst.f. 4'!H46+'MK 5'!H23+Spec.7!H18)</f>
        <v>841040</v>
      </c>
      <c r="F27" s="45">
        <f>SUM('sav.f. 3 '!I98+'Valst.f. 4'!I46+'MK 5'!I23)</f>
        <v>0</v>
      </c>
    </row>
    <row r="28" spans="1:6" ht="14.25" customHeight="1" x14ac:dyDescent="0.25">
      <c r="A28" s="19" t="s">
        <v>50</v>
      </c>
      <c r="B28" s="4" t="s">
        <v>380</v>
      </c>
      <c r="C28" s="116">
        <f t="shared" si="0"/>
        <v>1313351</v>
      </c>
      <c r="D28" s="45">
        <f>SUM('sav.f. 3 '!G99+'Valst.f. 4'!G47+'MK 5'!G24+Spec.7!G19)</f>
        <v>1313351</v>
      </c>
      <c r="E28" s="45">
        <f>SUM('sav.f. 3 '!H99+'Valst.f. 4'!H47+'MK 5'!H24+Spec.7!H19)</f>
        <v>826000</v>
      </c>
      <c r="F28" s="45">
        <f>SUM('sav.f. 3 '!I99+'Valst.f. 4'!I47+'MK 5'!I24)</f>
        <v>0</v>
      </c>
    </row>
    <row r="29" spans="1:6" ht="14.25" customHeight="1" x14ac:dyDescent="0.25">
      <c r="A29" s="19" t="s">
        <v>51</v>
      </c>
      <c r="B29" s="3" t="s">
        <v>342</v>
      </c>
      <c r="C29" s="116">
        <f t="shared" si="0"/>
        <v>2793213</v>
      </c>
      <c r="D29" s="45">
        <f>SUM('sav.f. 3 '!G100+'Valst.f. 4'!G48+'MK 5'!G25+Spec.7!G16)</f>
        <v>2395273</v>
      </c>
      <c r="E29" s="45">
        <f>SUM('sav.f. 3 '!H100+'Valst.f. 4'!H48+'MK 5'!H25+Spec.7!H16)</f>
        <v>1526520</v>
      </c>
      <c r="F29" s="45">
        <f>SUM('sav.f. 3 '!I100+'Valst.f. 4'!I48+'MK 5'!I25,'Valst.f. 4'!I62)</f>
        <v>397940</v>
      </c>
    </row>
    <row r="30" spans="1:6" ht="14.25" customHeight="1" x14ac:dyDescent="0.25">
      <c r="A30" s="19" t="s">
        <v>52</v>
      </c>
      <c r="B30" s="3" t="s">
        <v>381</v>
      </c>
      <c r="C30" s="116">
        <f t="shared" si="0"/>
        <v>4369624</v>
      </c>
      <c r="D30" s="45">
        <f>SUM('sav.f. 3 '!G102+'Valst.f. 4'!G50+'Valst.f. 4'!G63+'MK 5'!G27+Spec.7!G15)</f>
        <v>4351660</v>
      </c>
      <c r="E30" s="45">
        <f>SUM('sav.f. 3 '!H102+'Valst.f. 4'!H50+'Valst.f. 4'!H63+'MK 5'!H27+Spec.7!H15)</f>
        <v>2834560</v>
      </c>
      <c r="F30" s="45">
        <f>SUM('sav.f. 3 '!I102+'Valst.f. 4'!I49+'MK 5'!I27)</f>
        <v>17964</v>
      </c>
    </row>
    <row r="31" spans="1:6" ht="14.25" customHeight="1" x14ac:dyDescent="0.25">
      <c r="A31" s="19" t="s">
        <v>53</v>
      </c>
      <c r="B31" s="3" t="s">
        <v>382</v>
      </c>
      <c r="C31" s="116">
        <f t="shared" si="0"/>
        <v>2429000</v>
      </c>
      <c r="D31" s="45">
        <f>SUM('sav.f. 3 '!G101+'Valst.f. 4'!G49+'MK 5'!G26+Spec.7!G17)</f>
        <v>2159000</v>
      </c>
      <c r="E31" s="45">
        <f>SUM('sav.f. 3 '!H101+'Valst.f. 4'!H49+'MK 5'!H26+Spec.7!H17)</f>
        <v>1325120</v>
      </c>
      <c r="F31" s="45">
        <f>SUM('sav.f. 3 '!I101+'Valst.f. 4'!I50+'MK 5'!I26)</f>
        <v>270000</v>
      </c>
    </row>
    <row r="32" spans="1:6" ht="14.25" customHeight="1" x14ac:dyDescent="0.25">
      <c r="A32" s="19" t="s">
        <v>54</v>
      </c>
      <c r="B32" s="3" t="s">
        <v>28</v>
      </c>
      <c r="C32" s="116">
        <f t="shared" si="0"/>
        <v>1118552</v>
      </c>
      <c r="D32" s="45">
        <f>SUM('sav.f. 3 '!G103+'MK 5'!G28+Spec.7!G22)</f>
        <v>1107952</v>
      </c>
      <c r="E32" s="45">
        <f>SUM('sav.f. 3 '!H103+'MK 5'!H28)</f>
        <v>766550</v>
      </c>
      <c r="F32" s="45">
        <f>SUM('sav.f. 3 '!I103)</f>
        <v>10600</v>
      </c>
    </row>
    <row r="33" spans="1:9" ht="14.25" customHeight="1" x14ac:dyDescent="0.25">
      <c r="A33" s="19" t="s">
        <v>55</v>
      </c>
      <c r="B33" s="3" t="s">
        <v>24</v>
      </c>
      <c r="C33" s="116">
        <f t="shared" si="0"/>
        <v>581674</v>
      </c>
      <c r="D33" s="45">
        <f>SUM('sav.f. 3 '!G84+'sav.f. 3 '!G104+'MK 5'!G29+Spec.7!G23)</f>
        <v>578074</v>
      </c>
      <c r="E33" s="45">
        <f>SUM('sav.f. 3 '!H84+'sav.f. 3 '!H104+'MK 5'!H29)</f>
        <v>311905</v>
      </c>
      <c r="F33" s="45">
        <f>SUM('sav.f. 3 '!I84+'sav.f. 3 '!I104+Spec.7!I23)</f>
        <v>3600</v>
      </c>
    </row>
    <row r="34" spans="1:9" ht="14.25" customHeight="1" x14ac:dyDescent="0.25">
      <c r="A34" s="19" t="s">
        <v>57</v>
      </c>
      <c r="B34" s="3" t="s">
        <v>347</v>
      </c>
      <c r="C34" s="115">
        <f t="shared" si="0"/>
        <v>1190000</v>
      </c>
      <c r="D34" s="45">
        <f>SUM('sav.f. 3 '!G82+Spec.7!G26,'Valst.f. 4'!G58)</f>
        <v>1190000</v>
      </c>
      <c r="E34" s="45">
        <f>SUM('sav.f. 3 '!H82+Spec.7!H26,'Valst.f. 4'!H58)</f>
        <v>765770</v>
      </c>
      <c r="F34" s="45">
        <f>SUM('sav.f. 3 '!I82+Spec.7!I26)</f>
        <v>0</v>
      </c>
    </row>
    <row r="35" spans="1:9" ht="14.25" customHeight="1" x14ac:dyDescent="0.25">
      <c r="A35" s="19" t="s">
        <v>58</v>
      </c>
      <c r="B35" s="3" t="s">
        <v>19</v>
      </c>
      <c r="C35" s="116">
        <f t="shared" si="0"/>
        <v>238450</v>
      </c>
      <c r="D35" s="45">
        <f>SUM('sav.f. 3 '!G83,'Valst.f. 4'!G59)</f>
        <v>235450</v>
      </c>
      <c r="E35" s="45">
        <f>SUM('sav.f. 3 '!H83,'Valst.f. 4'!H59)</f>
        <v>146054</v>
      </c>
      <c r="F35" s="45">
        <f>SUM('sav.f. 3 '!I83)</f>
        <v>3000</v>
      </c>
      <c r="I35" s="16"/>
    </row>
    <row r="36" spans="1:9" ht="14.25" customHeight="1" x14ac:dyDescent="0.25">
      <c r="A36" s="19" t="s">
        <v>59</v>
      </c>
      <c r="B36" s="3" t="s">
        <v>122</v>
      </c>
      <c r="C36" s="116">
        <f t="shared" si="0"/>
        <v>285800</v>
      </c>
      <c r="D36" s="45">
        <f>SUM('sav.f. 3 '!G77,'Valst.f. 4'!G55,Spec.7!G25)</f>
        <v>285800</v>
      </c>
      <c r="E36" s="45">
        <f>SUM('sav.f. 3 '!H77,'Valst.f. 4'!H55)</f>
        <v>188960</v>
      </c>
      <c r="F36" s="45">
        <f>SUM('sav.f. 3 '!I77,'Valst.f. 4'!I55)</f>
        <v>0</v>
      </c>
    </row>
    <row r="37" spans="1:9" ht="14.25" customHeight="1" x14ac:dyDescent="0.25">
      <c r="A37" s="19" t="s">
        <v>69</v>
      </c>
      <c r="B37" s="3" t="s">
        <v>117</v>
      </c>
      <c r="C37" s="116">
        <f t="shared" si="0"/>
        <v>392212</v>
      </c>
      <c r="D37" s="45">
        <f>SUM('sav.f. 3 '!G111+'Valst.f. 4'!G51+Spec.7!G24)</f>
        <v>392212</v>
      </c>
      <c r="E37" s="45">
        <f>SUM('sav.f. 3 '!H111+'Valst.f. 4'!H51+Spec.7!H24)</f>
        <v>203550</v>
      </c>
      <c r="F37" s="45">
        <f>SUM('sav.f. 3 '!I111+'Valst.f. 4'!I51+Spec.7!I24)</f>
        <v>0</v>
      </c>
    </row>
    <row r="38" spans="1:9" ht="14.25" customHeight="1" x14ac:dyDescent="0.25">
      <c r="A38" s="19" t="s">
        <v>82</v>
      </c>
      <c r="B38" s="3" t="s">
        <v>234</v>
      </c>
      <c r="C38" s="116">
        <f t="shared" si="0"/>
        <v>11520</v>
      </c>
      <c r="D38" s="45">
        <f>SUM('sav.f. 3 '!G40+'sav.f. 3 '!G58)</f>
        <v>11520</v>
      </c>
      <c r="E38" s="45">
        <f>SUM('sav.f. 3 '!H40+'sav.f. 3 '!H58)</f>
        <v>0</v>
      </c>
      <c r="F38" s="45">
        <f>SUM('sav.f. 3 '!I40+'sav.f. 3 '!I58)</f>
        <v>0</v>
      </c>
    </row>
    <row r="39" spans="1:9" ht="14.25" customHeight="1" x14ac:dyDescent="0.25">
      <c r="A39" s="19" t="s">
        <v>119</v>
      </c>
      <c r="B39" s="3" t="s">
        <v>235</v>
      </c>
      <c r="C39" s="116">
        <f t="shared" si="0"/>
        <v>24540</v>
      </c>
      <c r="D39" s="45">
        <f>SUM('sav.f. 3 '!G41+'sav.f. 3 '!G59)</f>
        <v>24540</v>
      </c>
      <c r="E39" s="45">
        <f>SUM('sav.f. 3 '!H41+'sav.f. 3 '!H59)</f>
        <v>0</v>
      </c>
      <c r="F39" s="45">
        <f>SUM('sav.f. 3 '!I41+'sav.f. 3 '!I59)</f>
        <v>0</v>
      </c>
    </row>
    <row r="40" spans="1:9" ht="14.25" customHeight="1" x14ac:dyDescent="0.25">
      <c r="A40" s="19" t="s">
        <v>121</v>
      </c>
      <c r="B40" s="3" t="s">
        <v>236</v>
      </c>
      <c r="C40" s="116">
        <f t="shared" si="0"/>
        <v>25870</v>
      </c>
      <c r="D40" s="45">
        <f>SUM('sav.f. 3 '!G42+'sav.f. 3 '!G60)</f>
        <v>25870</v>
      </c>
      <c r="E40" s="45">
        <f>SUM('sav.f. 3 '!H42+'sav.f. 3 '!H60)</f>
        <v>0</v>
      </c>
      <c r="F40" s="45">
        <f>SUM('sav.f. 3 '!I42+'sav.f. 3 '!I60)</f>
        <v>0</v>
      </c>
    </row>
    <row r="41" spans="1:9" ht="14.25" customHeight="1" x14ac:dyDescent="0.25">
      <c r="A41" s="19" t="s">
        <v>252</v>
      </c>
      <c r="B41" s="3" t="s">
        <v>237</v>
      </c>
      <c r="C41" s="116">
        <f t="shared" si="0"/>
        <v>18610</v>
      </c>
      <c r="D41" s="45">
        <f>SUM('sav.f. 3 '!G43+'sav.f. 3 '!G61)</f>
        <v>18610</v>
      </c>
      <c r="E41" s="45">
        <f>SUM('sav.f. 3 '!H43+'sav.f. 3 '!H61)</f>
        <v>0</v>
      </c>
      <c r="F41" s="45">
        <f>SUM('sav.f. 3 '!I43+'sav.f. 3 '!I61)</f>
        <v>0</v>
      </c>
    </row>
    <row r="42" spans="1:9" ht="14.25" customHeight="1" x14ac:dyDescent="0.25">
      <c r="A42" s="19" t="s">
        <v>140</v>
      </c>
      <c r="B42" s="3" t="s">
        <v>250</v>
      </c>
      <c r="C42" s="115">
        <f t="shared" si="0"/>
        <v>364780</v>
      </c>
      <c r="D42" s="45">
        <f>SUM('sav.f. 3 '!G44+'sav.f. 3 '!G62)</f>
        <v>360198</v>
      </c>
      <c r="E42" s="45">
        <f>SUM('sav.f. 3 '!H44+'sav.f. 3 '!H62)</f>
        <v>0</v>
      </c>
      <c r="F42" s="45">
        <f>SUM('sav.f. 3 '!I44+'sav.f. 3 '!I62)</f>
        <v>4582</v>
      </c>
    </row>
    <row r="43" spans="1:9" ht="14.25" customHeight="1" x14ac:dyDescent="0.25">
      <c r="A43" s="19" t="s">
        <v>141</v>
      </c>
      <c r="B43" s="3" t="s">
        <v>239</v>
      </c>
      <c r="C43" s="116">
        <f t="shared" si="0"/>
        <v>51160</v>
      </c>
      <c r="D43" s="45">
        <f>SUM('sav.f. 3 '!G45+'sav.f. 3 '!G63)</f>
        <v>43018</v>
      </c>
      <c r="E43" s="45">
        <f>SUM('sav.f. 3 '!H45+'sav.f. 3 '!H63)</f>
        <v>0</v>
      </c>
      <c r="F43" s="45">
        <f>SUM('sav.f. 3 '!I45+'sav.f. 3 '!I63)</f>
        <v>8142</v>
      </c>
    </row>
    <row r="44" spans="1:9" ht="14.25" customHeight="1" x14ac:dyDescent="0.25">
      <c r="A44" s="19" t="s">
        <v>142</v>
      </c>
      <c r="B44" s="3" t="s">
        <v>240</v>
      </c>
      <c r="C44" s="116">
        <f t="shared" si="0"/>
        <v>16300</v>
      </c>
      <c r="D44" s="45">
        <f>SUM('sav.f. 3 '!G46+'sav.f. 3 '!G64)</f>
        <v>16300</v>
      </c>
      <c r="E44" s="45">
        <f>SUM('sav.f. 3 '!H46+'sav.f. 3 '!H64)</f>
        <v>0</v>
      </c>
      <c r="F44" s="45">
        <f>SUM('sav.f. 3 '!I46+'sav.f. 3 '!I64)</f>
        <v>0</v>
      </c>
    </row>
    <row r="45" spans="1:9" ht="14.25" customHeight="1" x14ac:dyDescent="0.25">
      <c r="A45" s="19" t="s">
        <v>143</v>
      </c>
      <c r="B45" s="3" t="s">
        <v>241</v>
      </c>
      <c r="C45" s="116">
        <f t="shared" si="0"/>
        <v>56400</v>
      </c>
      <c r="D45" s="45">
        <f>SUM('sav.f. 3 '!G47+'sav.f. 3 '!G65)</f>
        <v>56400</v>
      </c>
      <c r="E45" s="45">
        <f>SUM('sav.f. 3 '!H47+'sav.f. 3 '!H65)</f>
        <v>0</v>
      </c>
      <c r="F45" s="45">
        <f>SUM('sav.f. 3 '!I47+'sav.f. 3 '!I65)</f>
        <v>0</v>
      </c>
    </row>
    <row r="46" spans="1:9" ht="14.25" customHeight="1" x14ac:dyDescent="0.25">
      <c r="A46" s="19" t="s">
        <v>144</v>
      </c>
      <c r="B46" s="3" t="s">
        <v>242</v>
      </c>
      <c r="C46" s="116">
        <f t="shared" si="0"/>
        <v>11700</v>
      </c>
      <c r="D46" s="45">
        <f>SUM('sav.f. 3 '!G48+'sav.f. 3 '!G66)</f>
        <v>11700</v>
      </c>
      <c r="E46" s="45">
        <f>SUM('sav.f. 3 '!H48+'sav.f. 3 '!H66)</f>
        <v>0</v>
      </c>
      <c r="F46" s="45">
        <f>SUM('sav.f. 3 '!I48+'sav.f. 3 '!I66)</f>
        <v>0</v>
      </c>
    </row>
    <row r="47" spans="1:9" ht="14.25" customHeight="1" x14ac:dyDescent="0.25">
      <c r="A47" s="19" t="s">
        <v>145</v>
      </c>
      <c r="B47" s="3" t="s">
        <v>243</v>
      </c>
      <c r="C47" s="116">
        <f t="shared" si="0"/>
        <v>42400</v>
      </c>
      <c r="D47" s="45">
        <f>SUM('sav.f. 3 '!G49+'sav.f. 3 '!G67)</f>
        <v>33400</v>
      </c>
      <c r="E47" s="45">
        <f>SUM('sav.f. 3 '!H49+'sav.f. 3 '!H67)</f>
        <v>0</v>
      </c>
      <c r="F47" s="45">
        <f>SUM('sav.f. 3 '!I49+'sav.f. 3 '!I67)</f>
        <v>9000</v>
      </c>
    </row>
    <row r="48" spans="1:9" ht="14.25" customHeight="1" x14ac:dyDescent="0.25">
      <c r="A48" s="19" t="s">
        <v>146</v>
      </c>
      <c r="B48" s="3" t="s">
        <v>244</v>
      </c>
      <c r="C48" s="116">
        <f t="shared" si="0"/>
        <v>18100</v>
      </c>
      <c r="D48" s="45">
        <f>SUM('sav.f. 3 '!G50+'sav.f. 3 '!G68)</f>
        <v>18100</v>
      </c>
      <c r="E48" s="45">
        <f>SUM('sav.f. 3 '!H50+'sav.f. 3 '!H68)</f>
        <v>0</v>
      </c>
      <c r="F48" s="45">
        <f>SUM('sav.f. 3 '!I50+'sav.f. 3 '!I68)</f>
        <v>0</v>
      </c>
    </row>
    <row r="49" spans="1:16" ht="14.25" customHeight="1" x14ac:dyDescent="0.25">
      <c r="A49" s="19" t="s">
        <v>147</v>
      </c>
      <c r="B49" s="3" t="s">
        <v>245</v>
      </c>
      <c r="C49" s="116">
        <f t="shared" si="0"/>
        <v>14800</v>
      </c>
      <c r="D49" s="45">
        <f>SUM('sav.f. 3 '!G51+'sav.f. 3 '!G69)</f>
        <v>14800</v>
      </c>
      <c r="E49" s="45">
        <f>SUM('sav.f. 3 '!H51+'sav.f. 3 '!H69)</f>
        <v>0</v>
      </c>
      <c r="F49" s="45">
        <f>SUM('sav.f. 3 '!I51+'sav.f. 3 '!I69)</f>
        <v>0</v>
      </c>
    </row>
    <row r="50" spans="1:16" ht="14.25" customHeight="1" x14ac:dyDescent="0.25">
      <c r="A50" s="19" t="s">
        <v>149</v>
      </c>
      <c r="B50" s="3" t="s">
        <v>246</v>
      </c>
      <c r="C50" s="115">
        <f t="shared" si="0"/>
        <v>167870</v>
      </c>
      <c r="D50" s="45">
        <f>SUM('sav.f. 3 '!G52+'sav.f. 3 '!G70)</f>
        <v>160870</v>
      </c>
      <c r="E50" s="45">
        <f>SUM('sav.f. 3 '!H52+'sav.f. 3 '!H70)</f>
        <v>0</v>
      </c>
      <c r="F50" s="45">
        <f>SUM('sav.f. 3 '!I52+'sav.f. 3 '!I70)</f>
        <v>7000</v>
      </c>
    </row>
    <row r="51" spans="1:16" ht="14.25" customHeight="1" x14ac:dyDescent="0.25">
      <c r="A51" s="19" t="s">
        <v>150</v>
      </c>
      <c r="B51" s="3" t="s">
        <v>247</v>
      </c>
      <c r="C51" s="116">
        <f>SUM(D51,F51)</f>
        <v>99372</v>
      </c>
      <c r="D51" s="45">
        <f>SUM('sav.f. 3 '!G53+'sav.f. 3 '!G71)</f>
        <v>99372</v>
      </c>
      <c r="E51" s="45">
        <f>SUM('sav.f. 3 '!H53+'sav.f. 3 '!H71)</f>
        <v>0</v>
      </c>
      <c r="F51" s="45">
        <f>SUM('sav.f. 3 '!I53+'sav.f. 3 '!I71)</f>
        <v>0</v>
      </c>
    </row>
    <row r="52" spans="1:16" ht="15.75" customHeight="1" x14ac:dyDescent="0.25">
      <c r="A52" s="19" t="s">
        <v>179</v>
      </c>
      <c r="B52" s="3" t="s">
        <v>345</v>
      </c>
      <c r="C52" s="116">
        <f t="shared" si="0"/>
        <v>11369203</v>
      </c>
      <c r="D52" s="45">
        <f>SUM('sav.f. 3 '!G23)</f>
        <v>416990</v>
      </c>
      <c r="E52" s="45">
        <f>SUM('sav.f. 3 '!H23)</f>
        <v>0</v>
      </c>
      <c r="F52" s="45">
        <f>SUM('sav.f. 3 '!I23)</f>
        <v>10952213</v>
      </c>
    </row>
    <row r="53" spans="1:16" ht="21.75" customHeight="1" x14ac:dyDescent="0.25">
      <c r="A53" s="32"/>
      <c r="B53" s="18" t="s">
        <v>202</v>
      </c>
      <c r="C53" s="134">
        <f>SUM(C15:C52)</f>
        <v>69971020</v>
      </c>
      <c r="D53" s="134">
        <f>SUM(D15:D52)</f>
        <v>51104432</v>
      </c>
      <c r="E53" s="117">
        <f>SUM(E15:E52)</f>
        <v>20353169</v>
      </c>
      <c r="F53" s="117">
        <f>SUM(F15:F52)</f>
        <v>18866588</v>
      </c>
    </row>
    <row r="54" spans="1:16" ht="13.5" customHeight="1" x14ac:dyDescent="0.2">
      <c r="A54" s="42"/>
      <c r="B54" s="42"/>
      <c r="C54" s="42"/>
      <c r="D54" s="42"/>
      <c r="E54" s="42"/>
      <c r="F54" s="42"/>
    </row>
    <row r="55" spans="1:16" ht="15" x14ac:dyDescent="0.2">
      <c r="A55" s="42"/>
      <c r="B55" s="42"/>
      <c r="C55" s="42"/>
      <c r="D55" s="42"/>
      <c r="E55" s="42"/>
      <c r="F55" s="42"/>
      <c r="N55" s="114"/>
      <c r="O55" s="114"/>
      <c r="P55" s="114"/>
    </row>
    <row r="56" spans="1:16" x14ac:dyDescent="0.2">
      <c r="N56" s="114"/>
      <c r="O56" s="114"/>
      <c r="P56" s="114"/>
    </row>
    <row r="57" spans="1:16" x14ac:dyDescent="0.2">
      <c r="N57" s="114"/>
      <c r="O57" s="114"/>
      <c r="P57" s="114"/>
    </row>
  </sheetData>
  <mergeCells count="14">
    <mergeCell ref="A8:F8"/>
    <mergeCell ref="B9:F9"/>
    <mergeCell ref="B10:F10"/>
    <mergeCell ref="C2:F2"/>
    <mergeCell ref="C1:E1"/>
    <mergeCell ref="C3:D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6"/>
  <sheetViews>
    <sheetView workbookViewId="0">
      <selection activeCell="L44" sqref="L44"/>
    </sheetView>
  </sheetViews>
  <sheetFormatPr defaultRowHeight="15.75" x14ac:dyDescent="0.25"/>
  <cols>
    <col min="1" max="1" width="4.85546875" style="51" customWidth="1"/>
    <col min="2" max="2" width="5.42578125" style="51" customWidth="1"/>
    <col min="3" max="3" width="5.85546875" style="51" customWidth="1"/>
    <col min="4" max="4" width="30.42578125" style="51" customWidth="1"/>
    <col min="5" max="5" width="44.5703125" style="51" customWidth="1"/>
    <col min="6" max="6" width="11.140625" style="51" customWidth="1"/>
    <col min="7" max="7" width="11.85546875" style="51" customWidth="1"/>
    <col min="8" max="8" width="9.28515625" style="51" customWidth="1"/>
    <col min="9" max="9" width="12" style="51" customWidth="1"/>
    <col min="10" max="10" width="9.140625" style="51"/>
    <col min="11" max="11" width="11.140625" style="51" customWidth="1"/>
    <col min="12" max="13" width="9.140625" style="51"/>
    <col min="14" max="14" width="10.140625" style="51" bestFit="1" customWidth="1"/>
    <col min="15" max="16384" width="9.140625" style="51"/>
  </cols>
  <sheetData>
    <row r="1" spans="1:9" x14ac:dyDescent="0.25">
      <c r="E1" s="52"/>
      <c r="F1" s="195" t="s">
        <v>80</v>
      </c>
      <c r="G1" s="195"/>
      <c r="H1" s="195"/>
      <c r="I1" s="16"/>
    </row>
    <row r="2" spans="1:9" x14ac:dyDescent="0.25">
      <c r="E2" s="52"/>
      <c r="F2" s="195" t="s">
        <v>462</v>
      </c>
      <c r="G2" s="195"/>
      <c r="H2" s="195"/>
      <c r="I2" s="195"/>
    </row>
    <row r="3" spans="1:9" ht="17.25" customHeight="1" x14ac:dyDescent="0.25">
      <c r="E3" s="52"/>
      <c r="F3" s="35" t="s">
        <v>402</v>
      </c>
      <c r="G3" s="35"/>
      <c r="H3" s="35"/>
      <c r="I3" s="16"/>
    </row>
    <row r="4" spans="1:9" ht="12.75" hidden="1" customHeight="1" x14ac:dyDescent="0.25">
      <c r="E4" s="52"/>
      <c r="F4" s="52" t="s">
        <v>388</v>
      </c>
      <c r="G4" s="53"/>
      <c r="H4" s="53"/>
    </row>
    <row r="5" spans="1:9" ht="14.25" hidden="1" customHeight="1" x14ac:dyDescent="0.25">
      <c r="E5" s="52"/>
      <c r="F5" s="53" t="s">
        <v>344</v>
      </c>
      <c r="G5" s="53"/>
      <c r="H5" s="53"/>
    </row>
    <row r="6" spans="1:9" ht="14.25" customHeight="1" x14ac:dyDescent="0.25">
      <c r="E6" s="52"/>
      <c r="F6" s="182" t="s">
        <v>492</v>
      </c>
      <c r="G6" s="182"/>
      <c r="H6" s="36"/>
    </row>
    <row r="7" spans="1:9" ht="15" customHeight="1" x14ac:dyDescent="0.25">
      <c r="E7" s="52"/>
      <c r="F7" s="1" t="s">
        <v>344</v>
      </c>
      <c r="G7" s="1"/>
      <c r="H7" s="1"/>
    </row>
    <row r="8" spans="1:9" ht="16.5" customHeight="1" x14ac:dyDescent="0.25">
      <c r="D8" s="241" t="s">
        <v>401</v>
      </c>
      <c r="E8" s="241"/>
      <c r="F8" s="241"/>
      <c r="G8" s="241"/>
      <c r="H8" s="241"/>
      <c r="I8" s="241"/>
    </row>
    <row r="9" spans="1:9" ht="16.5" customHeight="1" x14ac:dyDescent="0.25">
      <c r="D9" s="242" t="s">
        <v>312</v>
      </c>
      <c r="E9" s="242"/>
      <c r="F9" s="242"/>
      <c r="G9" s="242"/>
      <c r="H9" s="242"/>
      <c r="I9" s="242"/>
    </row>
    <row r="10" spans="1:9" ht="13.5" customHeight="1" x14ac:dyDescent="0.25">
      <c r="D10" s="243" t="s">
        <v>124</v>
      </c>
      <c r="E10" s="243"/>
      <c r="F10" s="243"/>
      <c r="G10" s="243"/>
      <c r="H10" s="243"/>
      <c r="I10" s="243"/>
    </row>
    <row r="11" spans="1:9" ht="15" customHeight="1" x14ac:dyDescent="0.25">
      <c r="A11" s="237" t="s">
        <v>60</v>
      </c>
      <c r="B11" s="237" t="s">
        <v>153</v>
      </c>
      <c r="C11" s="237" t="s">
        <v>154</v>
      </c>
      <c r="D11" s="240" t="s">
        <v>231</v>
      </c>
      <c r="E11" s="240" t="s">
        <v>125</v>
      </c>
      <c r="F11" s="237" t="s">
        <v>346</v>
      </c>
      <c r="G11" s="240" t="s">
        <v>152</v>
      </c>
      <c r="H11" s="240"/>
      <c r="I11" s="240"/>
    </row>
    <row r="12" spans="1:9" ht="15" customHeight="1" x14ac:dyDescent="0.25">
      <c r="A12" s="238"/>
      <c r="B12" s="238"/>
      <c r="C12" s="238"/>
      <c r="D12" s="240"/>
      <c r="E12" s="240"/>
      <c r="F12" s="238"/>
      <c r="G12" s="240" t="s">
        <v>108</v>
      </c>
      <c r="H12" s="240"/>
      <c r="I12" s="237" t="s">
        <v>330</v>
      </c>
    </row>
    <row r="13" spans="1:9" ht="9.75" customHeight="1" x14ac:dyDescent="0.25">
      <c r="A13" s="238"/>
      <c r="B13" s="238"/>
      <c r="C13" s="238"/>
      <c r="D13" s="240"/>
      <c r="E13" s="240"/>
      <c r="F13" s="238"/>
      <c r="G13" s="240" t="s">
        <v>4</v>
      </c>
      <c r="H13" s="240" t="s">
        <v>109</v>
      </c>
      <c r="I13" s="238"/>
    </row>
    <row r="14" spans="1:9" ht="66" customHeight="1" x14ac:dyDescent="0.25">
      <c r="A14" s="239"/>
      <c r="B14" s="239"/>
      <c r="C14" s="239"/>
      <c r="D14" s="240"/>
      <c r="E14" s="240"/>
      <c r="F14" s="239"/>
      <c r="G14" s="240"/>
      <c r="H14" s="240"/>
      <c r="I14" s="239"/>
    </row>
    <row r="15" spans="1:9" ht="17.25" customHeight="1" x14ac:dyDescent="0.25">
      <c r="A15" s="43" t="s">
        <v>37</v>
      </c>
      <c r="B15" s="43" t="s">
        <v>127</v>
      </c>
      <c r="C15" s="43" t="s">
        <v>127</v>
      </c>
      <c r="D15" s="55" t="s">
        <v>8</v>
      </c>
      <c r="E15" s="48" t="s">
        <v>195</v>
      </c>
      <c r="F15" s="115">
        <f t="shared" ref="F15:F45" si="0">SUM(G15+I15)</f>
        <v>335600</v>
      </c>
      <c r="G15" s="45">
        <v>335600</v>
      </c>
      <c r="H15" s="45">
        <v>190170</v>
      </c>
      <c r="I15" s="45"/>
    </row>
    <row r="16" spans="1:9" ht="17.25" customHeight="1" x14ac:dyDescent="0.25">
      <c r="A16" s="43" t="s">
        <v>61</v>
      </c>
      <c r="B16" s="43"/>
      <c r="C16" s="43"/>
      <c r="D16" s="56"/>
      <c r="E16" s="34" t="s">
        <v>354</v>
      </c>
      <c r="F16" s="115">
        <f t="shared" si="0"/>
        <v>24000</v>
      </c>
      <c r="G16" s="45">
        <v>24000</v>
      </c>
      <c r="H16" s="45"/>
      <c r="I16" s="45"/>
    </row>
    <row r="17" spans="1:9" ht="30.75" customHeight="1" x14ac:dyDescent="0.25">
      <c r="A17" s="166" t="s">
        <v>38</v>
      </c>
      <c r="B17" s="43" t="s">
        <v>127</v>
      </c>
      <c r="C17" s="43" t="s">
        <v>127</v>
      </c>
      <c r="D17" s="56" t="s">
        <v>196</v>
      </c>
      <c r="E17" s="34" t="s">
        <v>229</v>
      </c>
      <c r="F17" s="116">
        <f t="shared" si="0"/>
        <v>181200</v>
      </c>
      <c r="G17" s="45">
        <v>181200</v>
      </c>
      <c r="H17" s="45">
        <v>125000</v>
      </c>
      <c r="I17" s="45"/>
    </row>
    <row r="18" spans="1:9" ht="17.25" customHeight="1" x14ac:dyDescent="0.25">
      <c r="A18" s="166" t="s">
        <v>39</v>
      </c>
      <c r="B18" s="43" t="s">
        <v>127</v>
      </c>
      <c r="C18" s="43" t="s">
        <v>127</v>
      </c>
      <c r="D18" s="55" t="s">
        <v>8</v>
      </c>
      <c r="E18" s="48" t="s">
        <v>230</v>
      </c>
      <c r="F18" s="115">
        <f t="shared" si="0"/>
        <v>4428249</v>
      </c>
      <c r="G18" s="45">
        <f>4260930+19449</f>
        <v>4280379</v>
      </c>
      <c r="H18" s="45">
        <v>2325580</v>
      </c>
      <c r="I18" s="45">
        <v>147870</v>
      </c>
    </row>
    <row r="19" spans="1:9" ht="21.75" customHeight="1" x14ac:dyDescent="0.25">
      <c r="A19" s="179" t="s">
        <v>40</v>
      </c>
      <c r="B19" s="43" t="s">
        <v>127</v>
      </c>
      <c r="C19" s="43" t="s">
        <v>127</v>
      </c>
      <c r="D19" s="55" t="s">
        <v>8</v>
      </c>
      <c r="E19" s="57" t="s">
        <v>189</v>
      </c>
      <c r="F19" s="116">
        <f t="shared" si="0"/>
        <v>18800</v>
      </c>
      <c r="G19" s="45">
        <v>18800</v>
      </c>
      <c r="H19" s="45">
        <v>14370</v>
      </c>
      <c r="I19" s="45"/>
    </row>
    <row r="20" spans="1:9" ht="17.25" customHeight="1" x14ac:dyDescent="0.25">
      <c r="A20" s="166" t="s">
        <v>41</v>
      </c>
      <c r="B20" s="43" t="s">
        <v>127</v>
      </c>
      <c r="C20" s="43" t="s">
        <v>127</v>
      </c>
      <c r="D20" s="55" t="s">
        <v>8</v>
      </c>
      <c r="E20" s="48" t="s">
        <v>130</v>
      </c>
      <c r="F20" s="116">
        <f t="shared" si="0"/>
        <v>19910</v>
      </c>
      <c r="G20" s="45">
        <v>19910</v>
      </c>
      <c r="H20" s="45">
        <v>15200</v>
      </c>
      <c r="I20" s="45"/>
    </row>
    <row r="21" spans="1:9" ht="17.25" customHeight="1" x14ac:dyDescent="0.25">
      <c r="A21" s="166" t="s">
        <v>42</v>
      </c>
      <c r="B21" s="43" t="s">
        <v>127</v>
      </c>
      <c r="C21" s="43" t="s">
        <v>127</v>
      </c>
      <c r="D21" s="55" t="s">
        <v>8</v>
      </c>
      <c r="E21" s="58" t="s">
        <v>22</v>
      </c>
      <c r="F21" s="116">
        <f t="shared" si="0"/>
        <v>20000</v>
      </c>
      <c r="G21" s="119">
        <v>20000</v>
      </c>
      <c r="H21" s="119"/>
      <c r="I21" s="119"/>
    </row>
    <row r="22" spans="1:9" ht="17.25" customHeight="1" x14ac:dyDescent="0.25">
      <c r="A22" s="180" t="s">
        <v>43</v>
      </c>
      <c r="B22" s="43" t="s">
        <v>127</v>
      </c>
      <c r="C22" s="43" t="s">
        <v>127</v>
      </c>
      <c r="D22" s="55" t="s">
        <v>8</v>
      </c>
      <c r="E22" s="58" t="s">
        <v>25</v>
      </c>
      <c r="F22" s="116">
        <f t="shared" si="0"/>
        <v>543215</v>
      </c>
      <c r="G22" s="45">
        <f>410000+133215</f>
        <v>543215</v>
      </c>
      <c r="H22" s="45"/>
      <c r="I22" s="45"/>
    </row>
    <row r="23" spans="1:9" ht="30.75" customHeight="1" x14ac:dyDescent="0.25">
      <c r="A23" s="166" t="s">
        <v>44</v>
      </c>
      <c r="B23" s="43" t="s">
        <v>127</v>
      </c>
      <c r="C23" s="43" t="s">
        <v>127</v>
      </c>
      <c r="D23" s="59" t="s">
        <v>319</v>
      </c>
      <c r="E23" s="60" t="s">
        <v>395</v>
      </c>
      <c r="F23" s="116">
        <f t="shared" si="0"/>
        <v>11369203</v>
      </c>
      <c r="G23" s="45">
        <v>416990</v>
      </c>
      <c r="H23" s="45"/>
      <c r="I23" s="45">
        <v>10952213</v>
      </c>
    </row>
    <row r="24" spans="1:9" ht="17.25" customHeight="1" x14ac:dyDescent="0.25">
      <c r="A24" s="181" t="s">
        <v>45</v>
      </c>
      <c r="B24" s="61" t="s">
        <v>163</v>
      </c>
      <c r="C24" s="43" t="s">
        <v>127</v>
      </c>
      <c r="D24" s="55" t="s">
        <v>8</v>
      </c>
      <c r="E24" s="56" t="s">
        <v>74</v>
      </c>
      <c r="F24" s="116">
        <f t="shared" si="0"/>
        <v>11000</v>
      </c>
      <c r="G24" s="45">
        <v>11000</v>
      </c>
      <c r="H24" s="45"/>
      <c r="I24" s="45"/>
    </row>
    <row r="25" spans="1:9" ht="17.25" customHeight="1" x14ac:dyDescent="0.25">
      <c r="A25" s="181" t="s">
        <v>46</v>
      </c>
      <c r="B25" s="61" t="s">
        <v>163</v>
      </c>
      <c r="C25" s="43" t="s">
        <v>127</v>
      </c>
      <c r="D25" s="55" t="s">
        <v>8</v>
      </c>
      <c r="E25" s="56" t="s">
        <v>322</v>
      </c>
      <c r="F25" s="116">
        <f>SUM(G25+I25)</f>
        <v>7900</v>
      </c>
      <c r="G25" s="45">
        <v>7900</v>
      </c>
      <c r="H25" s="45"/>
      <c r="I25" s="45"/>
    </row>
    <row r="26" spans="1:9" ht="32.25" customHeight="1" x14ac:dyDescent="0.25">
      <c r="A26" s="181" t="s">
        <v>47</v>
      </c>
      <c r="B26" s="61" t="s">
        <v>163</v>
      </c>
      <c r="C26" s="62" t="s">
        <v>127</v>
      </c>
      <c r="D26" s="63" t="s">
        <v>8</v>
      </c>
      <c r="E26" s="64" t="s">
        <v>29</v>
      </c>
      <c r="F26" s="116">
        <f t="shared" si="0"/>
        <v>7000</v>
      </c>
      <c r="G26" s="129">
        <v>7000</v>
      </c>
      <c r="H26" s="129"/>
      <c r="I26" s="129"/>
    </row>
    <row r="27" spans="1:9" ht="15.75" customHeight="1" x14ac:dyDescent="0.25">
      <c r="A27" s="166" t="s">
        <v>48</v>
      </c>
      <c r="B27" s="61" t="s">
        <v>51</v>
      </c>
      <c r="C27" s="43" t="s">
        <v>127</v>
      </c>
      <c r="D27" s="55" t="s">
        <v>8</v>
      </c>
      <c r="E27" s="65" t="s">
        <v>357</v>
      </c>
      <c r="F27" s="115">
        <f t="shared" si="0"/>
        <v>7000</v>
      </c>
      <c r="G27" s="45">
        <v>7000</v>
      </c>
      <c r="H27" s="45"/>
      <c r="I27" s="45"/>
    </row>
    <row r="28" spans="1:9" ht="16.5" customHeight="1" x14ac:dyDescent="0.25">
      <c r="A28" s="166" t="s">
        <v>49</v>
      </c>
      <c r="B28" s="43" t="s">
        <v>160</v>
      </c>
      <c r="C28" s="43" t="s">
        <v>160</v>
      </c>
      <c r="D28" s="55" t="s">
        <v>8</v>
      </c>
      <c r="E28" s="55" t="s">
        <v>120</v>
      </c>
      <c r="F28" s="45">
        <f t="shared" si="0"/>
        <v>15000</v>
      </c>
      <c r="G28" s="45">
        <v>15000</v>
      </c>
      <c r="H28" s="45"/>
      <c r="I28" s="45"/>
    </row>
    <row r="29" spans="1:9" ht="15.75" customHeight="1" x14ac:dyDescent="0.25">
      <c r="A29" s="166" t="s">
        <v>50</v>
      </c>
      <c r="B29" s="61" t="s">
        <v>160</v>
      </c>
      <c r="C29" s="43" t="s">
        <v>160</v>
      </c>
      <c r="D29" s="55" t="s">
        <v>8</v>
      </c>
      <c r="E29" s="66" t="s">
        <v>204</v>
      </c>
      <c r="F29" s="45">
        <f t="shared" si="0"/>
        <v>101940</v>
      </c>
      <c r="G29" s="45">
        <v>58654</v>
      </c>
      <c r="H29" s="45"/>
      <c r="I29" s="45">
        <v>43286</v>
      </c>
    </row>
    <row r="30" spans="1:9" ht="15.75" customHeight="1" x14ac:dyDescent="0.25">
      <c r="A30" s="166" t="s">
        <v>51</v>
      </c>
      <c r="B30" s="177" t="s">
        <v>165</v>
      </c>
      <c r="C30" s="177" t="s">
        <v>160</v>
      </c>
      <c r="D30" s="55" t="s">
        <v>8</v>
      </c>
      <c r="E30" s="5" t="s">
        <v>468</v>
      </c>
      <c r="F30" s="45">
        <f>SUM(G30+I30)</f>
        <v>26264</v>
      </c>
      <c r="G30" s="45">
        <f>17400+8864</f>
        <v>26264</v>
      </c>
      <c r="H30" s="45"/>
      <c r="I30" s="45"/>
    </row>
    <row r="31" spans="1:9" ht="31.5" customHeight="1" x14ac:dyDescent="0.25">
      <c r="A31" s="184" t="s">
        <v>467</v>
      </c>
      <c r="B31" s="184" t="s">
        <v>165</v>
      </c>
      <c r="C31" s="184" t="s">
        <v>160</v>
      </c>
      <c r="D31" s="63" t="s">
        <v>8</v>
      </c>
      <c r="E31" s="55" t="s">
        <v>466</v>
      </c>
      <c r="F31" s="45">
        <v>5100</v>
      </c>
      <c r="G31" s="45">
        <v>5100</v>
      </c>
      <c r="H31" s="45"/>
      <c r="I31" s="45"/>
    </row>
    <row r="32" spans="1:9" ht="18.75" customHeight="1" x14ac:dyDescent="0.25">
      <c r="A32" s="166" t="s">
        <v>52</v>
      </c>
      <c r="B32" s="82" t="s">
        <v>161</v>
      </c>
      <c r="C32" s="82" t="s">
        <v>164</v>
      </c>
      <c r="D32" s="63" t="s">
        <v>8</v>
      </c>
      <c r="E32" s="85" t="s">
        <v>212</v>
      </c>
      <c r="F32" s="45">
        <f t="shared" si="0"/>
        <v>76063</v>
      </c>
      <c r="G32" s="45">
        <f>39463+36600</f>
        <v>76063</v>
      </c>
      <c r="H32" s="45"/>
      <c r="I32" s="45"/>
    </row>
    <row r="33" spans="1:9" ht="15.75" customHeight="1" x14ac:dyDescent="0.25">
      <c r="A33" s="166" t="s">
        <v>53</v>
      </c>
      <c r="B33" s="177" t="s">
        <v>164</v>
      </c>
      <c r="C33" s="177" t="s">
        <v>164</v>
      </c>
      <c r="D33" s="55" t="s">
        <v>8</v>
      </c>
      <c r="E33" s="5" t="s">
        <v>71</v>
      </c>
      <c r="F33" s="45">
        <f t="shared" si="0"/>
        <v>169900</v>
      </c>
      <c r="G33" s="45">
        <v>169900</v>
      </c>
      <c r="H33" s="45"/>
      <c r="I33" s="45"/>
    </row>
    <row r="34" spans="1:9" ht="15.75" customHeight="1" x14ac:dyDescent="0.25">
      <c r="A34" s="166" t="s">
        <v>54</v>
      </c>
      <c r="B34" s="43" t="s">
        <v>164</v>
      </c>
      <c r="C34" s="43" t="s">
        <v>164</v>
      </c>
      <c r="D34" s="55" t="s">
        <v>8</v>
      </c>
      <c r="E34" s="5" t="s">
        <v>341</v>
      </c>
      <c r="F34" s="116">
        <f t="shared" si="0"/>
        <v>23400</v>
      </c>
      <c r="G34" s="45">
        <v>23400</v>
      </c>
      <c r="H34" s="45"/>
      <c r="I34" s="117"/>
    </row>
    <row r="35" spans="1:9" ht="15.75" customHeight="1" x14ac:dyDescent="0.25">
      <c r="A35" s="166" t="s">
        <v>55</v>
      </c>
      <c r="B35" s="43" t="s">
        <v>164</v>
      </c>
      <c r="C35" s="43" t="s">
        <v>164</v>
      </c>
      <c r="D35" s="55" t="s">
        <v>8</v>
      </c>
      <c r="E35" s="5" t="s">
        <v>23</v>
      </c>
      <c r="F35" s="116">
        <f t="shared" si="0"/>
        <v>316000</v>
      </c>
      <c r="G35" s="45">
        <v>316000</v>
      </c>
      <c r="H35" s="45"/>
      <c r="I35" s="117"/>
    </row>
    <row r="36" spans="1:9" ht="15.75" customHeight="1" x14ac:dyDescent="0.25">
      <c r="A36" s="166" t="s">
        <v>56</v>
      </c>
      <c r="B36" s="43" t="s">
        <v>168</v>
      </c>
      <c r="C36" s="43" t="s">
        <v>164</v>
      </c>
      <c r="D36" s="55" t="s">
        <v>8</v>
      </c>
      <c r="E36" s="58" t="s">
        <v>155</v>
      </c>
      <c r="F36" s="115">
        <f t="shared" si="0"/>
        <v>40000</v>
      </c>
      <c r="G36" s="45">
        <v>40000</v>
      </c>
      <c r="H36" s="45"/>
      <c r="I36" s="117"/>
    </row>
    <row r="37" spans="1:9" ht="15.75" customHeight="1" x14ac:dyDescent="0.25">
      <c r="A37" s="166" t="s">
        <v>57</v>
      </c>
      <c r="B37" s="43" t="s">
        <v>46</v>
      </c>
      <c r="C37" s="43" t="s">
        <v>164</v>
      </c>
      <c r="D37" s="55" t="s">
        <v>8</v>
      </c>
      <c r="E37" s="5" t="s">
        <v>17</v>
      </c>
      <c r="F37" s="116">
        <f t="shared" si="0"/>
        <v>5133077</v>
      </c>
      <c r="G37" s="45">
        <v>166141</v>
      </c>
      <c r="H37" s="45"/>
      <c r="I37" s="45">
        <f>4866936+100000</f>
        <v>4966936</v>
      </c>
    </row>
    <row r="38" spans="1:9" ht="14.25" customHeight="1" x14ac:dyDescent="0.25">
      <c r="A38" s="166" t="s">
        <v>58</v>
      </c>
      <c r="B38" s="43" t="s">
        <v>165</v>
      </c>
      <c r="C38" s="43" t="s">
        <v>168</v>
      </c>
      <c r="D38" s="55" t="s">
        <v>8</v>
      </c>
      <c r="E38" s="67" t="s">
        <v>113</v>
      </c>
      <c r="F38" s="116">
        <f t="shared" si="0"/>
        <v>1925003</v>
      </c>
      <c r="G38" s="45">
        <f>1919600+5403</f>
        <v>1925003</v>
      </c>
      <c r="H38" s="45">
        <v>186510</v>
      </c>
      <c r="I38" s="45"/>
    </row>
    <row r="39" spans="1:9" ht="14.25" customHeight="1" x14ac:dyDescent="0.25">
      <c r="A39" s="166" t="s">
        <v>481</v>
      </c>
      <c r="B39" s="43" t="s">
        <v>165</v>
      </c>
      <c r="C39" s="43" t="s">
        <v>168</v>
      </c>
      <c r="D39" s="55" t="s">
        <v>8</v>
      </c>
      <c r="E39" s="67" t="s">
        <v>391</v>
      </c>
      <c r="F39" s="116">
        <f t="shared" si="0"/>
        <v>1600000</v>
      </c>
      <c r="G39" s="45">
        <v>1600000</v>
      </c>
      <c r="H39" s="45"/>
      <c r="I39" s="45"/>
    </row>
    <row r="40" spans="1:9" ht="14.25" customHeight="1" x14ac:dyDescent="0.25">
      <c r="A40" s="166" t="s">
        <v>59</v>
      </c>
      <c r="B40" s="43" t="s">
        <v>165</v>
      </c>
      <c r="C40" s="43" t="s">
        <v>168</v>
      </c>
      <c r="D40" s="55" t="s">
        <v>234</v>
      </c>
      <c r="E40" s="67" t="s">
        <v>113</v>
      </c>
      <c r="F40" s="116">
        <f t="shared" si="0"/>
        <v>8210</v>
      </c>
      <c r="G40" s="45">
        <v>8210</v>
      </c>
      <c r="H40" s="45"/>
      <c r="I40" s="45"/>
    </row>
    <row r="41" spans="1:9" ht="14.25" customHeight="1" x14ac:dyDescent="0.25">
      <c r="A41" s="166" t="s">
        <v>69</v>
      </c>
      <c r="B41" s="43" t="s">
        <v>165</v>
      </c>
      <c r="C41" s="43" t="s">
        <v>168</v>
      </c>
      <c r="D41" s="55" t="s">
        <v>235</v>
      </c>
      <c r="E41" s="67" t="s">
        <v>113</v>
      </c>
      <c r="F41" s="116">
        <f t="shared" si="0"/>
        <v>15460</v>
      </c>
      <c r="G41" s="45">
        <v>15460</v>
      </c>
      <c r="H41" s="45"/>
      <c r="I41" s="45"/>
    </row>
    <row r="42" spans="1:9" ht="14.25" customHeight="1" x14ac:dyDescent="0.25">
      <c r="A42" s="166" t="s">
        <v>82</v>
      </c>
      <c r="B42" s="43" t="s">
        <v>165</v>
      </c>
      <c r="C42" s="43" t="s">
        <v>168</v>
      </c>
      <c r="D42" s="55" t="s">
        <v>236</v>
      </c>
      <c r="E42" s="67" t="s">
        <v>113</v>
      </c>
      <c r="F42" s="116">
        <f t="shared" si="0"/>
        <v>11580</v>
      </c>
      <c r="G42" s="45">
        <v>11580</v>
      </c>
      <c r="H42" s="45"/>
      <c r="I42" s="45"/>
    </row>
    <row r="43" spans="1:9" ht="14.25" customHeight="1" x14ac:dyDescent="0.25">
      <c r="A43" s="166" t="s">
        <v>119</v>
      </c>
      <c r="B43" s="43" t="s">
        <v>165</v>
      </c>
      <c r="C43" s="43" t="s">
        <v>168</v>
      </c>
      <c r="D43" s="55" t="s">
        <v>237</v>
      </c>
      <c r="E43" s="67" t="s">
        <v>113</v>
      </c>
      <c r="F43" s="116">
        <f t="shared" si="0"/>
        <v>11700</v>
      </c>
      <c r="G43" s="45">
        <v>11700</v>
      </c>
      <c r="H43" s="45"/>
      <c r="I43" s="45"/>
    </row>
    <row r="44" spans="1:9" ht="14.25" customHeight="1" x14ac:dyDescent="0.25">
      <c r="A44" s="166" t="s">
        <v>121</v>
      </c>
      <c r="B44" s="43" t="s">
        <v>165</v>
      </c>
      <c r="C44" s="43" t="s">
        <v>168</v>
      </c>
      <c r="D44" s="55" t="s">
        <v>250</v>
      </c>
      <c r="E44" s="67" t="s">
        <v>113</v>
      </c>
      <c r="F44" s="115">
        <f t="shared" si="0"/>
        <v>247890</v>
      </c>
      <c r="G44" s="45">
        <v>243308</v>
      </c>
      <c r="H44" s="45"/>
      <c r="I44" s="45">
        <v>4582</v>
      </c>
    </row>
    <row r="45" spans="1:9" ht="14.25" customHeight="1" x14ac:dyDescent="0.25">
      <c r="A45" s="166" t="s">
        <v>252</v>
      </c>
      <c r="B45" s="43" t="s">
        <v>165</v>
      </c>
      <c r="C45" s="43" t="s">
        <v>168</v>
      </c>
      <c r="D45" s="55" t="s">
        <v>239</v>
      </c>
      <c r="E45" s="67" t="s">
        <v>113</v>
      </c>
      <c r="F45" s="116">
        <f t="shared" si="0"/>
        <v>33710</v>
      </c>
      <c r="G45" s="45">
        <f>20568+5000</f>
        <v>25568</v>
      </c>
      <c r="H45" s="45"/>
      <c r="I45" s="45">
        <v>8142</v>
      </c>
    </row>
    <row r="46" spans="1:9" ht="14.25" customHeight="1" x14ac:dyDescent="0.25">
      <c r="A46" s="166" t="s">
        <v>140</v>
      </c>
      <c r="B46" s="43" t="s">
        <v>165</v>
      </c>
      <c r="C46" s="43" t="s">
        <v>168</v>
      </c>
      <c r="D46" s="55" t="s">
        <v>240</v>
      </c>
      <c r="E46" s="67" t="s">
        <v>113</v>
      </c>
      <c r="F46" s="116">
        <f t="shared" ref="F46:F75" si="1">SUM(G46+I46)</f>
        <v>11300</v>
      </c>
      <c r="G46" s="45">
        <v>11300</v>
      </c>
      <c r="H46" s="45"/>
      <c r="I46" s="45"/>
    </row>
    <row r="47" spans="1:9" ht="14.25" customHeight="1" x14ac:dyDescent="0.25">
      <c r="A47" s="166" t="s">
        <v>141</v>
      </c>
      <c r="B47" s="43" t="s">
        <v>165</v>
      </c>
      <c r="C47" s="43" t="s">
        <v>168</v>
      </c>
      <c r="D47" s="55" t="s">
        <v>241</v>
      </c>
      <c r="E47" s="67" t="s">
        <v>113</v>
      </c>
      <c r="F47" s="116">
        <f t="shared" si="1"/>
        <v>29000</v>
      </c>
      <c r="G47" s="45">
        <v>29000</v>
      </c>
      <c r="H47" s="45"/>
      <c r="I47" s="45"/>
    </row>
    <row r="48" spans="1:9" ht="14.25" customHeight="1" x14ac:dyDescent="0.25">
      <c r="A48" s="166" t="s">
        <v>142</v>
      </c>
      <c r="B48" s="43" t="s">
        <v>165</v>
      </c>
      <c r="C48" s="43" t="s">
        <v>168</v>
      </c>
      <c r="D48" s="55" t="s">
        <v>242</v>
      </c>
      <c r="E48" s="67" t="s">
        <v>113</v>
      </c>
      <c r="F48" s="116">
        <f t="shared" si="1"/>
        <v>9000</v>
      </c>
      <c r="G48" s="45">
        <v>9000</v>
      </c>
      <c r="H48" s="45"/>
      <c r="I48" s="45"/>
    </row>
    <row r="49" spans="1:9" ht="14.25" customHeight="1" x14ac:dyDescent="0.25">
      <c r="A49" s="166" t="s">
        <v>143</v>
      </c>
      <c r="B49" s="43" t="s">
        <v>165</v>
      </c>
      <c r="C49" s="43" t="s">
        <v>168</v>
      </c>
      <c r="D49" s="55" t="s">
        <v>243</v>
      </c>
      <c r="E49" s="67" t="s">
        <v>113</v>
      </c>
      <c r="F49" s="116">
        <f t="shared" si="1"/>
        <v>21400</v>
      </c>
      <c r="G49" s="45">
        <v>12400</v>
      </c>
      <c r="H49" s="45"/>
      <c r="I49" s="45">
        <v>9000</v>
      </c>
    </row>
    <row r="50" spans="1:9" ht="14.25" customHeight="1" x14ac:dyDescent="0.25">
      <c r="A50" s="166" t="s">
        <v>144</v>
      </c>
      <c r="B50" s="43" t="s">
        <v>165</v>
      </c>
      <c r="C50" s="43" t="s">
        <v>168</v>
      </c>
      <c r="D50" s="55" t="s">
        <v>244</v>
      </c>
      <c r="E50" s="67" t="s">
        <v>113</v>
      </c>
      <c r="F50" s="116">
        <f t="shared" si="1"/>
        <v>13700</v>
      </c>
      <c r="G50" s="45">
        <v>13700</v>
      </c>
      <c r="H50" s="45"/>
      <c r="I50" s="45"/>
    </row>
    <row r="51" spans="1:9" ht="14.25" customHeight="1" x14ac:dyDescent="0.25">
      <c r="A51" s="166" t="s">
        <v>145</v>
      </c>
      <c r="B51" s="43" t="s">
        <v>165</v>
      </c>
      <c r="C51" s="43" t="s">
        <v>168</v>
      </c>
      <c r="D51" s="55" t="s">
        <v>245</v>
      </c>
      <c r="E51" s="67" t="s">
        <v>113</v>
      </c>
      <c r="F51" s="116">
        <f t="shared" si="1"/>
        <v>10600</v>
      </c>
      <c r="G51" s="45">
        <v>10600</v>
      </c>
      <c r="H51" s="45"/>
      <c r="I51" s="45"/>
    </row>
    <row r="52" spans="1:9" ht="14.25" customHeight="1" x14ac:dyDescent="0.25">
      <c r="A52" s="166" t="s">
        <v>146</v>
      </c>
      <c r="B52" s="43" t="s">
        <v>165</v>
      </c>
      <c r="C52" s="43" t="s">
        <v>168</v>
      </c>
      <c r="D52" s="55" t="s">
        <v>246</v>
      </c>
      <c r="E52" s="67" t="s">
        <v>113</v>
      </c>
      <c r="F52" s="115">
        <f t="shared" si="1"/>
        <v>114170</v>
      </c>
      <c r="G52" s="45">
        <v>107170</v>
      </c>
      <c r="H52" s="45"/>
      <c r="I52" s="45">
        <v>7000</v>
      </c>
    </row>
    <row r="53" spans="1:9" ht="14.25" customHeight="1" x14ac:dyDescent="0.25">
      <c r="A53" s="166" t="s">
        <v>147</v>
      </c>
      <c r="B53" s="43" t="s">
        <v>165</v>
      </c>
      <c r="C53" s="43" t="s">
        <v>168</v>
      </c>
      <c r="D53" s="55" t="s">
        <v>247</v>
      </c>
      <c r="E53" s="67" t="s">
        <v>113</v>
      </c>
      <c r="F53" s="116">
        <f t="shared" si="1"/>
        <v>65952</v>
      </c>
      <c r="G53" s="45">
        <v>65952</v>
      </c>
      <c r="H53" s="45"/>
      <c r="I53" s="45"/>
    </row>
    <row r="54" spans="1:9" ht="14.25" customHeight="1" x14ac:dyDescent="0.25">
      <c r="A54" s="166" t="s">
        <v>149</v>
      </c>
      <c r="B54" s="43" t="s">
        <v>47</v>
      </c>
      <c r="C54" s="43" t="s">
        <v>166</v>
      </c>
      <c r="D54" s="55" t="s">
        <v>8</v>
      </c>
      <c r="E54" s="68" t="s">
        <v>27</v>
      </c>
      <c r="F54" s="116">
        <f t="shared" si="1"/>
        <v>23000</v>
      </c>
      <c r="G54" s="45">
        <v>23000</v>
      </c>
      <c r="H54" s="45"/>
      <c r="I54" s="45"/>
    </row>
    <row r="55" spans="1:9" ht="15" customHeight="1" x14ac:dyDescent="0.25">
      <c r="A55" s="166" t="s">
        <v>150</v>
      </c>
      <c r="B55" s="166" t="s">
        <v>165</v>
      </c>
      <c r="C55" s="166" t="s">
        <v>166</v>
      </c>
      <c r="D55" s="167" t="s">
        <v>8</v>
      </c>
      <c r="E55" s="122" t="s">
        <v>16</v>
      </c>
      <c r="F55" s="116">
        <f t="shared" si="1"/>
        <v>157950</v>
      </c>
      <c r="G55" s="45">
        <v>157950</v>
      </c>
      <c r="H55" s="45"/>
      <c r="I55" s="45"/>
    </row>
    <row r="56" spans="1:9" ht="15.75" customHeight="1" x14ac:dyDescent="0.25">
      <c r="A56" s="166" t="s">
        <v>179</v>
      </c>
      <c r="B56" s="43" t="s">
        <v>165</v>
      </c>
      <c r="C56" s="43" t="s">
        <v>166</v>
      </c>
      <c r="D56" s="55" t="s">
        <v>8</v>
      </c>
      <c r="E56" s="67" t="s">
        <v>159</v>
      </c>
      <c r="F56" s="115">
        <f t="shared" si="1"/>
        <v>10000</v>
      </c>
      <c r="G56" s="45">
        <v>10000</v>
      </c>
      <c r="H56" s="45"/>
      <c r="I56" s="45"/>
    </row>
    <row r="57" spans="1:9" ht="15.75" customHeight="1" x14ac:dyDescent="0.25">
      <c r="A57" s="166" t="s">
        <v>180</v>
      </c>
      <c r="B57" s="43" t="s">
        <v>165</v>
      </c>
      <c r="C57" s="43" t="s">
        <v>166</v>
      </c>
      <c r="D57" s="55" t="s">
        <v>8</v>
      </c>
      <c r="E57" s="67" t="s">
        <v>5</v>
      </c>
      <c r="F57" s="116">
        <f t="shared" si="1"/>
        <v>99900</v>
      </c>
      <c r="G57" s="45">
        <v>33586</v>
      </c>
      <c r="H57" s="45"/>
      <c r="I57" s="45">
        <v>66314</v>
      </c>
    </row>
    <row r="58" spans="1:9" ht="15.75" customHeight="1" x14ac:dyDescent="0.25">
      <c r="A58" s="166" t="s">
        <v>181</v>
      </c>
      <c r="B58" s="43" t="s">
        <v>165</v>
      </c>
      <c r="C58" s="43" t="s">
        <v>166</v>
      </c>
      <c r="D58" s="55" t="s">
        <v>234</v>
      </c>
      <c r="E58" s="67" t="s">
        <v>5</v>
      </c>
      <c r="F58" s="116">
        <f t="shared" si="1"/>
        <v>3310</v>
      </c>
      <c r="G58" s="45">
        <v>3310</v>
      </c>
      <c r="H58" s="45"/>
      <c r="I58" s="45"/>
    </row>
    <row r="59" spans="1:9" ht="15.75" customHeight="1" x14ac:dyDescent="0.25">
      <c r="A59" s="166" t="s">
        <v>182</v>
      </c>
      <c r="B59" s="43" t="s">
        <v>165</v>
      </c>
      <c r="C59" s="43" t="s">
        <v>166</v>
      </c>
      <c r="D59" s="55" t="s">
        <v>235</v>
      </c>
      <c r="E59" s="67" t="s">
        <v>5</v>
      </c>
      <c r="F59" s="116">
        <f t="shared" si="1"/>
        <v>9080</v>
      </c>
      <c r="G59" s="45">
        <v>9080</v>
      </c>
      <c r="H59" s="45"/>
      <c r="I59" s="45"/>
    </row>
    <row r="60" spans="1:9" ht="15.75" customHeight="1" x14ac:dyDescent="0.25">
      <c r="A60" s="166" t="s">
        <v>183</v>
      </c>
      <c r="B60" s="43" t="s">
        <v>165</v>
      </c>
      <c r="C60" s="43" t="s">
        <v>166</v>
      </c>
      <c r="D60" s="55" t="s">
        <v>236</v>
      </c>
      <c r="E60" s="67" t="s">
        <v>5</v>
      </c>
      <c r="F60" s="116">
        <f t="shared" si="1"/>
        <v>14290</v>
      </c>
      <c r="G60" s="45">
        <v>14290</v>
      </c>
      <c r="H60" s="45"/>
      <c r="I60" s="45"/>
    </row>
    <row r="61" spans="1:9" ht="15.75" customHeight="1" x14ac:dyDescent="0.25">
      <c r="A61" s="166" t="s">
        <v>253</v>
      </c>
      <c r="B61" s="43" t="s">
        <v>165</v>
      </c>
      <c r="C61" s="43" t="s">
        <v>166</v>
      </c>
      <c r="D61" s="55" t="s">
        <v>237</v>
      </c>
      <c r="E61" s="68" t="s">
        <v>5</v>
      </c>
      <c r="F61" s="45">
        <f t="shared" si="1"/>
        <v>6910</v>
      </c>
      <c r="G61" s="45">
        <v>6910</v>
      </c>
      <c r="H61" s="45"/>
      <c r="I61" s="45"/>
    </row>
    <row r="62" spans="1:9" ht="14.25" customHeight="1" x14ac:dyDescent="0.25">
      <c r="A62" s="166" t="s">
        <v>254</v>
      </c>
      <c r="B62" s="43" t="s">
        <v>165</v>
      </c>
      <c r="C62" s="43" t="s">
        <v>166</v>
      </c>
      <c r="D62" s="55" t="s">
        <v>238</v>
      </c>
      <c r="E62" s="68" t="s">
        <v>5</v>
      </c>
      <c r="F62" s="45">
        <f t="shared" si="1"/>
        <v>116890</v>
      </c>
      <c r="G62" s="45">
        <v>116890</v>
      </c>
      <c r="H62" s="45"/>
      <c r="I62" s="45"/>
    </row>
    <row r="63" spans="1:9" ht="15.75" customHeight="1" x14ac:dyDescent="0.25">
      <c r="A63" s="166" t="s">
        <v>255</v>
      </c>
      <c r="B63" s="43" t="s">
        <v>165</v>
      </c>
      <c r="C63" s="43" t="s">
        <v>166</v>
      </c>
      <c r="D63" s="55" t="s">
        <v>239</v>
      </c>
      <c r="E63" s="67" t="s">
        <v>5</v>
      </c>
      <c r="F63" s="45">
        <f t="shared" si="1"/>
        <v>17450</v>
      </c>
      <c r="G63" s="45">
        <v>17450</v>
      </c>
      <c r="H63" s="45"/>
      <c r="I63" s="45"/>
    </row>
    <row r="64" spans="1:9" ht="15.75" customHeight="1" x14ac:dyDescent="0.25">
      <c r="A64" s="166" t="s">
        <v>256</v>
      </c>
      <c r="B64" s="43" t="s">
        <v>165</v>
      </c>
      <c r="C64" s="43" t="s">
        <v>166</v>
      </c>
      <c r="D64" s="55" t="s">
        <v>240</v>
      </c>
      <c r="E64" s="67" t="s">
        <v>5</v>
      </c>
      <c r="F64" s="115">
        <f t="shared" si="1"/>
        <v>5000</v>
      </c>
      <c r="G64" s="45">
        <v>5000</v>
      </c>
      <c r="H64" s="45"/>
      <c r="I64" s="45"/>
    </row>
    <row r="65" spans="1:9" ht="15.75" customHeight="1" x14ac:dyDescent="0.25">
      <c r="A65" s="166" t="s">
        <v>257</v>
      </c>
      <c r="B65" s="43" t="s">
        <v>165</v>
      </c>
      <c r="C65" s="43" t="s">
        <v>166</v>
      </c>
      <c r="D65" s="55" t="s">
        <v>241</v>
      </c>
      <c r="E65" s="67" t="s">
        <v>5</v>
      </c>
      <c r="F65" s="115">
        <f t="shared" si="1"/>
        <v>27400</v>
      </c>
      <c r="G65" s="45">
        <v>27400</v>
      </c>
      <c r="H65" s="45"/>
      <c r="I65" s="45"/>
    </row>
    <row r="66" spans="1:9" ht="15.75" customHeight="1" x14ac:dyDescent="0.25">
      <c r="A66" s="166" t="s">
        <v>258</v>
      </c>
      <c r="B66" s="43" t="s">
        <v>165</v>
      </c>
      <c r="C66" s="43" t="s">
        <v>166</v>
      </c>
      <c r="D66" s="55" t="s">
        <v>242</v>
      </c>
      <c r="E66" s="67" t="s">
        <v>5</v>
      </c>
      <c r="F66" s="115">
        <f t="shared" si="1"/>
        <v>2700</v>
      </c>
      <c r="G66" s="45">
        <v>2700</v>
      </c>
      <c r="H66" s="45"/>
      <c r="I66" s="45"/>
    </row>
    <row r="67" spans="1:9" ht="15.75" customHeight="1" x14ac:dyDescent="0.25">
      <c r="A67" s="166" t="s">
        <v>259</v>
      </c>
      <c r="B67" s="43" t="s">
        <v>165</v>
      </c>
      <c r="C67" s="43" t="s">
        <v>166</v>
      </c>
      <c r="D67" s="55" t="s">
        <v>243</v>
      </c>
      <c r="E67" s="67" t="s">
        <v>5</v>
      </c>
      <c r="F67" s="115">
        <f t="shared" si="1"/>
        <v>21000</v>
      </c>
      <c r="G67" s="45">
        <v>21000</v>
      </c>
      <c r="H67" s="45"/>
      <c r="I67" s="45"/>
    </row>
    <row r="68" spans="1:9" ht="15.75" customHeight="1" x14ac:dyDescent="0.25">
      <c r="A68" s="166" t="s">
        <v>260</v>
      </c>
      <c r="B68" s="43" t="s">
        <v>165</v>
      </c>
      <c r="C68" s="43" t="s">
        <v>166</v>
      </c>
      <c r="D68" s="55" t="s">
        <v>244</v>
      </c>
      <c r="E68" s="67" t="s">
        <v>5</v>
      </c>
      <c r="F68" s="116">
        <f t="shared" si="1"/>
        <v>4400</v>
      </c>
      <c r="G68" s="45">
        <v>4400</v>
      </c>
      <c r="H68" s="45"/>
      <c r="I68" s="45"/>
    </row>
    <row r="69" spans="1:9" ht="13.5" customHeight="1" x14ac:dyDescent="0.25">
      <c r="A69" s="166" t="s">
        <v>261</v>
      </c>
      <c r="B69" s="177" t="s">
        <v>165</v>
      </c>
      <c r="C69" s="177" t="s">
        <v>166</v>
      </c>
      <c r="D69" s="55" t="s">
        <v>245</v>
      </c>
      <c r="E69" s="68" t="s">
        <v>5</v>
      </c>
      <c r="F69" s="45">
        <f t="shared" si="1"/>
        <v>4200</v>
      </c>
      <c r="G69" s="45">
        <v>4200</v>
      </c>
      <c r="H69" s="45"/>
      <c r="I69" s="45"/>
    </row>
    <row r="70" spans="1:9" ht="13.5" customHeight="1" x14ac:dyDescent="0.25">
      <c r="A70" s="166" t="s">
        <v>262</v>
      </c>
      <c r="B70" s="177" t="s">
        <v>165</v>
      </c>
      <c r="C70" s="177" t="s">
        <v>166</v>
      </c>
      <c r="D70" s="55" t="s">
        <v>246</v>
      </c>
      <c r="E70" s="68" t="s">
        <v>5</v>
      </c>
      <c r="F70" s="45">
        <f t="shared" si="1"/>
        <v>53700</v>
      </c>
      <c r="G70" s="45">
        <f>79000-25300</f>
        <v>53700</v>
      </c>
      <c r="H70" s="45"/>
      <c r="I70" s="45"/>
    </row>
    <row r="71" spans="1:9" ht="13.5" customHeight="1" x14ac:dyDescent="0.25">
      <c r="A71" s="166" t="s">
        <v>263</v>
      </c>
      <c r="B71" s="43" t="s">
        <v>165</v>
      </c>
      <c r="C71" s="43" t="s">
        <v>166</v>
      </c>
      <c r="D71" s="55" t="s">
        <v>247</v>
      </c>
      <c r="E71" s="67" t="s">
        <v>5</v>
      </c>
      <c r="F71" s="45">
        <f t="shared" si="1"/>
        <v>33420</v>
      </c>
      <c r="G71" s="118">
        <f>8120+25300</f>
        <v>33420</v>
      </c>
      <c r="H71" s="45"/>
      <c r="I71" s="45"/>
    </row>
    <row r="72" spans="1:9" ht="15.75" customHeight="1" x14ac:dyDescent="0.25">
      <c r="A72" s="166" t="s">
        <v>264</v>
      </c>
      <c r="B72" s="43" t="s">
        <v>165</v>
      </c>
      <c r="C72" s="43" t="s">
        <v>166</v>
      </c>
      <c r="D72" s="55" t="s">
        <v>8</v>
      </c>
      <c r="E72" s="67" t="s">
        <v>157</v>
      </c>
      <c r="F72" s="45">
        <f t="shared" si="1"/>
        <v>94915</v>
      </c>
      <c r="G72" s="45">
        <f>53269+8915</f>
        <v>62184</v>
      </c>
      <c r="H72" s="45"/>
      <c r="I72" s="45">
        <v>32731</v>
      </c>
    </row>
    <row r="73" spans="1:9" ht="17.25" customHeight="1" x14ac:dyDescent="0.25">
      <c r="A73" s="166" t="s">
        <v>265</v>
      </c>
      <c r="B73" s="43" t="s">
        <v>48</v>
      </c>
      <c r="C73" s="43" t="s">
        <v>161</v>
      </c>
      <c r="D73" s="55" t="s">
        <v>8</v>
      </c>
      <c r="E73" s="70" t="s">
        <v>72</v>
      </c>
      <c r="F73" s="45">
        <f t="shared" si="1"/>
        <v>10000</v>
      </c>
      <c r="G73" s="45">
        <v>10000</v>
      </c>
      <c r="H73" s="45"/>
      <c r="I73" s="45"/>
    </row>
    <row r="74" spans="1:9" ht="15.75" customHeight="1" x14ac:dyDescent="0.25">
      <c r="A74" s="166" t="s">
        <v>266</v>
      </c>
      <c r="B74" s="43" t="s">
        <v>48</v>
      </c>
      <c r="C74" s="43" t="s">
        <v>161</v>
      </c>
      <c r="D74" s="55" t="s">
        <v>8</v>
      </c>
      <c r="E74" s="70" t="s">
        <v>30</v>
      </c>
      <c r="F74" s="45">
        <f t="shared" si="1"/>
        <v>14000</v>
      </c>
      <c r="G74" s="45">
        <v>14000</v>
      </c>
      <c r="H74" s="45"/>
      <c r="I74" s="45"/>
    </row>
    <row r="75" spans="1:9" ht="15.75" customHeight="1" x14ac:dyDescent="0.25">
      <c r="A75" s="166" t="s">
        <v>267</v>
      </c>
      <c r="B75" s="43" t="s">
        <v>48</v>
      </c>
      <c r="C75" s="43" t="s">
        <v>161</v>
      </c>
      <c r="D75" s="55" t="s">
        <v>8</v>
      </c>
      <c r="E75" s="67" t="s">
        <v>190</v>
      </c>
      <c r="F75" s="45">
        <f t="shared" si="1"/>
        <v>10000</v>
      </c>
      <c r="G75" s="45">
        <v>10000</v>
      </c>
      <c r="H75" s="45"/>
      <c r="I75" s="45"/>
    </row>
    <row r="76" spans="1:9" ht="15.75" customHeight="1" x14ac:dyDescent="0.25">
      <c r="A76" s="166" t="s">
        <v>268</v>
      </c>
      <c r="B76" s="43" t="s">
        <v>127</v>
      </c>
      <c r="C76" s="43" t="s">
        <v>161</v>
      </c>
      <c r="D76" s="55" t="s">
        <v>8</v>
      </c>
      <c r="E76" s="71" t="s">
        <v>14</v>
      </c>
      <c r="F76" s="116">
        <f t="shared" ref="F76:F105" si="2">SUM(G76+I76)</f>
        <v>37660</v>
      </c>
      <c r="G76" s="45">
        <v>37660</v>
      </c>
      <c r="H76" s="45">
        <v>28750</v>
      </c>
      <c r="I76" s="45"/>
    </row>
    <row r="77" spans="1:9" ht="15" customHeight="1" x14ac:dyDescent="0.25">
      <c r="A77" s="166" t="s">
        <v>269</v>
      </c>
      <c r="B77" s="43" t="s">
        <v>48</v>
      </c>
      <c r="C77" s="43" t="s">
        <v>161</v>
      </c>
      <c r="D77" s="67" t="s">
        <v>122</v>
      </c>
      <c r="E77" s="67" t="s">
        <v>15</v>
      </c>
      <c r="F77" s="116">
        <f t="shared" si="2"/>
        <v>42200</v>
      </c>
      <c r="G77" s="45">
        <f>40900+1300</f>
        <v>42200</v>
      </c>
      <c r="H77" s="45">
        <f>27960+1000</f>
        <v>28960</v>
      </c>
      <c r="I77" s="45"/>
    </row>
    <row r="78" spans="1:9" ht="15" customHeight="1" x14ac:dyDescent="0.25">
      <c r="A78" s="166" t="s">
        <v>270</v>
      </c>
      <c r="B78" s="43" t="s">
        <v>49</v>
      </c>
      <c r="C78" s="43" t="s">
        <v>165</v>
      </c>
      <c r="D78" s="55" t="s">
        <v>8</v>
      </c>
      <c r="E78" s="55" t="s">
        <v>158</v>
      </c>
      <c r="F78" s="116">
        <f t="shared" si="2"/>
        <v>1116100</v>
      </c>
      <c r="G78" s="45">
        <f>1067210+31390</f>
        <v>1098600</v>
      </c>
      <c r="H78" s="45"/>
      <c r="I78" s="45">
        <f>10000+7500</f>
        <v>17500</v>
      </c>
    </row>
    <row r="79" spans="1:9" ht="15" customHeight="1" x14ac:dyDescent="0.25">
      <c r="A79" s="166" t="s">
        <v>271</v>
      </c>
      <c r="B79" s="43" t="s">
        <v>49</v>
      </c>
      <c r="C79" s="148" t="s">
        <v>165</v>
      </c>
      <c r="D79" s="55" t="s">
        <v>8</v>
      </c>
      <c r="E79" s="65" t="s">
        <v>26</v>
      </c>
      <c r="F79" s="116">
        <f t="shared" si="2"/>
        <v>15000</v>
      </c>
      <c r="G79" s="45">
        <v>15000</v>
      </c>
      <c r="H79" s="45"/>
      <c r="I79" s="45"/>
    </row>
    <row r="80" spans="1:9" ht="15" customHeight="1" x14ac:dyDescent="0.25">
      <c r="A80" s="166" t="s">
        <v>272</v>
      </c>
      <c r="B80" s="148" t="s">
        <v>49</v>
      </c>
      <c r="C80" s="43" t="s">
        <v>165</v>
      </c>
      <c r="D80" s="55" t="s">
        <v>8</v>
      </c>
      <c r="E80" s="65" t="s">
        <v>425</v>
      </c>
      <c r="F80" s="116">
        <f t="shared" si="2"/>
        <v>37000</v>
      </c>
      <c r="G80" s="45">
        <v>37000</v>
      </c>
      <c r="H80" s="45"/>
      <c r="I80" s="45"/>
    </row>
    <row r="81" spans="1:9" ht="15.75" customHeight="1" x14ac:dyDescent="0.25">
      <c r="A81" s="166" t="s">
        <v>273</v>
      </c>
      <c r="B81" s="43" t="s">
        <v>49</v>
      </c>
      <c r="C81" s="43" t="s">
        <v>165</v>
      </c>
      <c r="D81" s="63" t="s">
        <v>8</v>
      </c>
      <c r="E81" s="55" t="s">
        <v>392</v>
      </c>
      <c r="F81" s="116">
        <f t="shared" si="2"/>
        <v>27000</v>
      </c>
      <c r="G81" s="45">
        <v>27000</v>
      </c>
      <c r="H81" s="45"/>
      <c r="I81" s="45"/>
    </row>
    <row r="82" spans="1:9" ht="15" customHeight="1" x14ac:dyDescent="0.25">
      <c r="A82" s="166" t="s">
        <v>274</v>
      </c>
      <c r="B82" s="43" t="s">
        <v>49</v>
      </c>
      <c r="C82" s="43" t="s">
        <v>165</v>
      </c>
      <c r="D82" s="5" t="s">
        <v>18</v>
      </c>
      <c r="E82" s="5" t="s">
        <v>175</v>
      </c>
      <c r="F82" s="45">
        <f t="shared" si="2"/>
        <v>1109300</v>
      </c>
      <c r="G82" s="45">
        <v>1109300</v>
      </c>
      <c r="H82" s="45">
        <v>707210</v>
      </c>
      <c r="I82" s="45"/>
    </row>
    <row r="83" spans="1:9" ht="15" customHeight="1" x14ac:dyDescent="0.25">
      <c r="A83" s="166" t="s">
        <v>275</v>
      </c>
      <c r="B83" s="43" t="s">
        <v>49</v>
      </c>
      <c r="C83" s="43" t="s">
        <v>165</v>
      </c>
      <c r="D83" s="70" t="s">
        <v>19</v>
      </c>
      <c r="E83" s="5" t="s">
        <v>6</v>
      </c>
      <c r="F83" s="116">
        <f t="shared" si="2"/>
        <v>224550</v>
      </c>
      <c r="G83" s="45">
        <f>221050+500</f>
        <v>221550</v>
      </c>
      <c r="H83" s="45">
        <v>135440</v>
      </c>
      <c r="I83" s="45">
        <v>3000</v>
      </c>
    </row>
    <row r="84" spans="1:9" ht="15" customHeight="1" x14ac:dyDescent="0.25">
      <c r="A84" s="166" t="s">
        <v>276</v>
      </c>
      <c r="B84" s="43" t="s">
        <v>49</v>
      </c>
      <c r="C84" s="43" t="s">
        <v>165</v>
      </c>
      <c r="D84" s="59" t="s">
        <v>24</v>
      </c>
      <c r="E84" s="5" t="s">
        <v>31</v>
      </c>
      <c r="F84" s="116">
        <f t="shared" si="2"/>
        <v>3100</v>
      </c>
      <c r="G84" s="45">
        <v>3100</v>
      </c>
      <c r="H84" s="45"/>
      <c r="I84" s="45"/>
    </row>
    <row r="85" spans="1:9" ht="15" customHeight="1" x14ac:dyDescent="0.25">
      <c r="A85" s="166" t="s">
        <v>277</v>
      </c>
      <c r="B85" s="43" t="s">
        <v>50</v>
      </c>
      <c r="C85" s="43" t="s">
        <v>165</v>
      </c>
      <c r="D85" s="55" t="s">
        <v>8</v>
      </c>
      <c r="E85" s="65" t="s">
        <v>400</v>
      </c>
      <c r="F85" s="45">
        <f t="shared" si="2"/>
        <v>84252</v>
      </c>
      <c r="G85" s="45">
        <f>75906+8346</f>
        <v>84252</v>
      </c>
      <c r="H85" s="45"/>
      <c r="I85" s="45"/>
    </row>
    <row r="86" spans="1:9" ht="15" customHeight="1" x14ac:dyDescent="0.25">
      <c r="A86" s="166" t="s">
        <v>278</v>
      </c>
      <c r="B86" s="43" t="s">
        <v>50</v>
      </c>
      <c r="C86" s="43" t="s">
        <v>165</v>
      </c>
      <c r="D86" s="55" t="s">
        <v>8</v>
      </c>
      <c r="E86" s="65" t="s">
        <v>338</v>
      </c>
      <c r="F86" s="45">
        <f t="shared" si="2"/>
        <v>42000</v>
      </c>
      <c r="G86" s="45">
        <f>30000+12000</f>
        <v>42000</v>
      </c>
      <c r="H86" s="45"/>
      <c r="I86" s="45"/>
    </row>
    <row r="87" spans="1:9" ht="15" customHeight="1" x14ac:dyDescent="0.25">
      <c r="A87" s="166" t="s">
        <v>331</v>
      </c>
      <c r="B87" s="43" t="s">
        <v>50</v>
      </c>
      <c r="C87" s="43" t="s">
        <v>165</v>
      </c>
      <c r="D87" s="55" t="s">
        <v>8</v>
      </c>
      <c r="E87" s="5" t="s">
        <v>339</v>
      </c>
      <c r="F87" s="45">
        <f t="shared" si="2"/>
        <v>23400</v>
      </c>
      <c r="G87" s="45">
        <v>23400</v>
      </c>
      <c r="H87" s="45"/>
      <c r="I87" s="45"/>
    </row>
    <row r="88" spans="1:9" ht="30.75" customHeight="1" x14ac:dyDescent="0.25">
      <c r="A88" s="166" t="s">
        <v>279</v>
      </c>
      <c r="B88" s="43" t="s">
        <v>51</v>
      </c>
      <c r="C88" s="43" t="s">
        <v>162</v>
      </c>
      <c r="D88" s="72" t="s">
        <v>369</v>
      </c>
      <c r="E88" s="73" t="s">
        <v>185</v>
      </c>
      <c r="F88" s="116">
        <f t="shared" si="2"/>
        <v>778437</v>
      </c>
      <c r="G88" s="45">
        <f>743300+35137</f>
        <v>778437</v>
      </c>
      <c r="H88" s="45">
        <v>467200</v>
      </c>
      <c r="I88" s="45"/>
    </row>
    <row r="89" spans="1:9" ht="30.75" customHeight="1" x14ac:dyDescent="0.25">
      <c r="A89" s="166" t="s">
        <v>280</v>
      </c>
      <c r="B89" s="43" t="s">
        <v>51</v>
      </c>
      <c r="C89" s="43" t="s">
        <v>162</v>
      </c>
      <c r="D89" s="55" t="s">
        <v>370</v>
      </c>
      <c r="E89" s="73" t="s">
        <v>185</v>
      </c>
      <c r="F89" s="116">
        <f t="shared" si="2"/>
        <v>659046</v>
      </c>
      <c r="G89" s="45">
        <f>637900+21146</f>
        <v>659046</v>
      </c>
      <c r="H89" s="45">
        <v>378360</v>
      </c>
      <c r="I89" s="45"/>
    </row>
    <row r="90" spans="1:9" ht="19.5" customHeight="1" x14ac:dyDescent="0.25">
      <c r="A90" s="166" t="s">
        <v>281</v>
      </c>
      <c r="B90" s="43" t="s">
        <v>51</v>
      </c>
      <c r="C90" s="43" t="s">
        <v>162</v>
      </c>
      <c r="D90" s="55" t="s">
        <v>371</v>
      </c>
      <c r="E90" s="73" t="s">
        <v>186</v>
      </c>
      <c r="F90" s="116">
        <f t="shared" si="2"/>
        <v>117500</v>
      </c>
      <c r="G90" s="45">
        <v>117500</v>
      </c>
      <c r="H90" s="45">
        <v>68970</v>
      </c>
      <c r="I90" s="45"/>
    </row>
    <row r="91" spans="1:9" ht="33" customHeight="1" x14ac:dyDescent="0.25">
      <c r="A91" s="166" t="s">
        <v>282</v>
      </c>
      <c r="B91" s="43" t="s">
        <v>51</v>
      </c>
      <c r="C91" s="43" t="s">
        <v>162</v>
      </c>
      <c r="D91" s="55" t="s">
        <v>372</v>
      </c>
      <c r="E91" s="5" t="s">
        <v>186</v>
      </c>
      <c r="F91" s="45">
        <f t="shared" si="2"/>
        <v>336278</v>
      </c>
      <c r="G91" s="45">
        <f>324300+11978</f>
        <v>336278</v>
      </c>
      <c r="H91" s="45">
        <v>186880</v>
      </c>
      <c r="I91" s="45"/>
    </row>
    <row r="92" spans="1:9" ht="17.25" customHeight="1" x14ac:dyDescent="0.25">
      <c r="A92" s="166" t="s">
        <v>283</v>
      </c>
      <c r="B92" s="43" t="s">
        <v>51</v>
      </c>
      <c r="C92" s="43" t="s">
        <v>162</v>
      </c>
      <c r="D92" s="55" t="s">
        <v>373</v>
      </c>
      <c r="E92" s="5" t="s">
        <v>457</v>
      </c>
      <c r="F92" s="45">
        <f t="shared" si="2"/>
        <v>896600</v>
      </c>
      <c r="G92" s="45">
        <v>215000</v>
      </c>
      <c r="H92" s="45">
        <v>93500</v>
      </c>
      <c r="I92" s="45">
        <v>681600</v>
      </c>
    </row>
    <row r="93" spans="1:9" ht="15.75" customHeight="1" x14ac:dyDescent="0.25">
      <c r="A93" s="166" t="s">
        <v>284</v>
      </c>
      <c r="B93" s="43" t="s">
        <v>51</v>
      </c>
      <c r="C93" s="43" t="s">
        <v>162</v>
      </c>
      <c r="D93" s="55" t="s">
        <v>374</v>
      </c>
      <c r="E93" s="5" t="s">
        <v>457</v>
      </c>
      <c r="F93" s="45">
        <f t="shared" si="2"/>
        <v>112700</v>
      </c>
      <c r="G93" s="45">
        <v>112700</v>
      </c>
      <c r="H93" s="45">
        <v>63850</v>
      </c>
      <c r="I93" s="45"/>
    </row>
    <row r="94" spans="1:9" ht="31.5" customHeight="1" x14ac:dyDescent="0.25">
      <c r="A94" s="166" t="s">
        <v>285</v>
      </c>
      <c r="B94" s="43" t="s">
        <v>51</v>
      </c>
      <c r="C94" s="43" t="s">
        <v>162</v>
      </c>
      <c r="D94" s="55" t="s">
        <v>375</v>
      </c>
      <c r="E94" s="5" t="s">
        <v>457</v>
      </c>
      <c r="F94" s="45">
        <f t="shared" si="2"/>
        <v>257318</v>
      </c>
      <c r="G94" s="45">
        <f>234900+20918</f>
        <v>255818</v>
      </c>
      <c r="H94" s="45">
        <v>121000</v>
      </c>
      <c r="I94" s="45">
        <v>1500</v>
      </c>
    </row>
    <row r="95" spans="1:9" ht="15.75" customHeight="1" x14ac:dyDescent="0.25">
      <c r="A95" s="166" t="s">
        <v>286</v>
      </c>
      <c r="B95" s="43" t="s">
        <v>51</v>
      </c>
      <c r="C95" s="43" t="s">
        <v>162</v>
      </c>
      <c r="D95" s="74" t="s">
        <v>376</v>
      </c>
      <c r="E95" s="5" t="s">
        <v>457</v>
      </c>
      <c r="F95" s="115">
        <f t="shared" si="2"/>
        <v>368287</v>
      </c>
      <c r="G95" s="45">
        <v>345677</v>
      </c>
      <c r="H95" s="45">
        <v>170420</v>
      </c>
      <c r="I95" s="45">
        <v>22610</v>
      </c>
    </row>
    <row r="96" spans="1:9" ht="15.75" customHeight="1" x14ac:dyDescent="0.25">
      <c r="A96" s="194" t="s">
        <v>287</v>
      </c>
      <c r="B96" s="43" t="s">
        <v>51</v>
      </c>
      <c r="C96" s="43" t="s">
        <v>162</v>
      </c>
      <c r="D96" s="74" t="s">
        <v>377</v>
      </c>
      <c r="E96" s="5" t="s">
        <v>457</v>
      </c>
      <c r="F96" s="115">
        <f t="shared" si="2"/>
        <v>194209</v>
      </c>
      <c r="G96" s="45">
        <f>189000+3009</f>
        <v>192009</v>
      </c>
      <c r="H96" s="45">
        <v>105640</v>
      </c>
      <c r="I96" s="45">
        <v>2200</v>
      </c>
    </row>
    <row r="97" spans="1:9" ht="15.75" customHeight="1" x14ac:dyDescent="0.25">
      <c r="A97" s="194" t="s">
        <v>288</v>
      </c>
      <c r="B97" s="43" t="s">
        <v>51</v>
      </c>
      <c r="C97" s="43" t="s">
        <v>162</v>
      </c>
      <c r="D97" s="55" t="s">
        <v>378</v>
      </c>
      <c r="E97" s="5" t="s">
        <v>457</v>
      </c>
      <c r="F97" s="115">
        <f t="shared" si="2"/>
        <v>123400</v>
      </c>
      <c r="G97" s="45">
        <f>120400+3000</f>
        <v>123400</v>
      </c>
      <c r="H97" s="45">
        <v>59120</v>
      </c>
      <c r="I97" s="45"/>
    </row>
    <row r="98" spans="1:9" ht="15.75" customHeight="1" x14ac:dyDescent="0.25">
      <c r="A98" s="194" t="s">
        <v>289</v>
      </c>
      <c r="B98" s="43" t="s">
        <v>51</v>
      </c>
      <c r="C98" s="43" t="s">
        <v>162</v>
      </c>
      <c r="D98" s="5" t="s">
        <v>379</v>
      </c>
      <c r="E98" s="5" t="s">
        <v>457</v>
      </c>
      <c r="F98" s="115">
        <f t="shared" si="2"/>
        <v>281000</v>
      </c>
      <c r="G98" s="45">
        <v>281000</v>
      </c>
      <c r="H98" s="45">
        <v>163770</v>
      </c>
      <c r="I98" s="45"/>
    </row>
    <row r="99" spans="1:9" ht="15.75" customHeight="1" x14ac:dyDescent="0.25">
      <c r="A99" s="194" t="s">
        <v>290</v>
      </c>
      <c r="B99" s="43" t="s">
        <v>51</v>
      </c>
      <c r="C99" s="43" t="s">
        <v>162</v>
      </c>
      <c r="D99" s="5" t="s">
        <v>380</v>
      </c>
      <c r="E99" s="5" t="s">
        <v>457</v>
      </c>
      <c r="F99" s="116">
        <f t="shared" si="2"/>
        <v>395891</v>
      </c>
      <c r="G99" s="45">
        <f>384850+11041</f>
        <v>395891</v>
      </c>
      <c r="H99" s="45">
        <v>182340</v>
      </c>
      <c r="I99" s="45"/>
    </row>
    <row r="100" spans="1:9" ht="15.75" customHeight="1" x14ac:dyDescent="0.25">
      <c r="A100" s="194" t="s">
        <v>291</v>
      </c>
      <c r="B100" s="177" t="s">
        <v>51</v>
      </c>
      <c r="C100" s="177" t="s">
        <v>162</v>
      </c>
      <c r="D100" s="5" t="s">
        <v>324</v>
      </c>
      <c r="E100" s="5" t="s">
        <v>457</v>
      </c>
      <c r="F100" s="45">
        <f t="shared" si="2"/>
        <v>706073</v>
      </c>
      <c r="G100" s="45">
        <f>679670+8463</f>
        <v>688133</v>
      </c>
      <c r="H100" s="45">
        <v>321500</v>
      </c>
      <c r="I100" s="45">
        <f>11890+6050</f>
        <v>17940</v>
      </c>
    </row>
    <row r="101" spans="1:9" ht="30" customHeight="1" x14ac:dyDescent="0.25">
      <c r="A101" s="194" t="s">
        <v>292</v>
      </c>
      <c r="B101" s="177" t="s">
        <v>51</v>
      </c>
      <c r="C101" s="177" t="s">
        <v>162</v>
      </c>
      <c r="D101" s="55" t="s">
        <v>382</v>
      </c>
      <c r="E101" s="5" t="s">
        <v>457</v>
      </c>
      <c r="F101" s="45">
        <f t="shared" si="2"/>
        <v>836220</v>
      </c>
      <c r="G101" s="45">
        <f>563520+2700</f>
        <v>566220</v>
      </c>
      <c r="H101" s="45">
        <v>294100</v>
      </c>
      <c r="I101" s="45">
        <v>270000</v>
      </c>
    </row>
    <row r="102" spans="1:9" ht="33.75" customHeight="1" x14ac:dyDescent="0.25">
      <c r="A102" s="194" t="s">
        <v>293</v>
      </c>
      <c r="B102" s="43" t="s">
        <v>51</v>
      </c>
      <c r="C102" s="43" t="s">
        <v>162</v>
      </c>
      <c r="D102" s="55" t="s">
        <v>381</v>
      </c>
      <c r="E102" s="5" t="s">
        <v>457</v>
      </c>
      <c r="F102" s="116">
        <f t="shared" si="2"/>
        <v>831244</v>
      </c>
      <c r="G102" s="45">
        <f>765436+47844</f>
        <v>813280</v>
      </c>
      <c r="H102" s="45">
        <v>355850</v>
      </c>
      <c r="I102" s="45">
        <v>17964</v>
      </c>
    </row>
    <row r="103" spans="1:9" ht="14.25" customHeight="1" x14ac:dyDescent="0.25">
      <c r="A103" s="194" t="s">
        <v>294</v>
      </c>
      <c r="B103" s="43" t="s">
        <v>51</v>
      </c>
      <c r="C103" s="43" t="s">
        <v>162</v>
      </c>
      <c r="D103" s="74" t="s">
        <v>28</v>
      </c>
      <c r="E103" s="70" t="s">
        <v>173</v>
      </c>
      <c r="F103" s="116">
        <f t="shared" si="2"/>
        <v>937640</v>
      </c>
      <c r="G103" s="45">
        <v>927040</v>
      </c>
      <c r="H103" s="45">
        <v>715100</v>
      </c>
      <c r="I103" s="45">
        <v>10600</v>
      </c>
    </row>
    <row r="104" spans="1:9" ht="15" customHeight="1" x14ac:dyDescent="0.25">
      <c r="A104" s="194" t="s">
        <v>295</v>
      </c>
      <c r="B104" s="43" t="s">
        <v>49</v>
      </c>
      <c r="C104" s="43" t="s">
        <v>162</v>
      </c>
      <c r="D104" s="75" t="s">
        <v>24</v>
      </c>
      <c r="E104" s="70" t="s">
        <v>173</v>
      </c>
      <c r="F104" s="116">
        <f t="shared" si="2"/>
        <v>444474</v>
      </c>
      <c r="G104" s="45">
        <v>440874</v>
      </c>
      <c r="H104" s="45">
        <v>247705</v>
      </c>
      <c r="I104" s="45">
        <v>3600</v>
      </c>
    </row>
    <row r="105" spans="1:9" ht="15" customHeight="1" x14ac:dyDescent="0.25">
      <c r="A105" s="194" t="s">
        <v>296</v>
      </c>
      <c r="B105" s="194" t="s">
        <v>49</v>
      </c>
      <c r="C105" s="194" t="s">
        <v>162</v>
      </c>
      <c r="D105" s="59" t="s">
        <v>8</v>
      </c>
      <c r="E105" s="68" t="s">
        <v>483</v>
      </c>
      <c r="F105" s="116">
        <f t="shared" si="2"/>
        <v>320726</v>
      </c>
      <c r="G105" s="45">
        <f>300726+20000</f>
        <v>320726</v>
      </c>
      <c r="H105" s="45"/>
      <c r="I105" s="45"/>
    </row>
    <row r="106" spans="1:9" ht="15.75" customHeight="1" x14ac:dyDescent="0.25">
      <c r="A106" s="194" t="s">
        <v>297</v>
      </c>
      <c r="B106" s="43" t="s">
        <v>51</v>
      </c>
      <c r="C106" s="43" t="s">
        <v>162</v>
      </c>
      <c r="D106" s="59" t="s">
        <v>8</v>
      </c>
      <c r="E106" s="68" t="s">
        <v>73</v>
      </c>
      <c r="F106" s="116">
        <f t="shared" ref="F106:F124" si="3">SUM(G106+I106)</f>
        <v>154500</v>
      </c>
      <c r="G106" s="45">
        <v>154500</v>
      </c>
      <c r="H106" s="45"/>
      <c r="I106" s="45"/>
    </row>
    <row r="107" spans="1:9" ht="15.75" customHeight="1" x14ac:dyDescent="0.25">
      <c r="A107" s="194" t="s">
        <v>298</v>
      </c>
      <c r="B107" s="43" t="s">
        <v>51</v>
      </c>
      <c r="C107" s="43" t="s">
        <v>162</v>
      </c>
      <c r="D107" s="59" t="s">
        <v>8</v>
      </c>
      <c r="E107" s="76" t="s">
        <v>223</v>
      </c>
      <c r="F107" s="116">
        <f t="shared" si="3"/>
        <v>440000</v>
      </c>
      <c r="G107" s="45">
        <v>440000</v>
      </c>
      <c r="H107" s="45"/>
      <c r="I107" s="45"/>
    </row>
    <row r="108" spans="1:9" ht="14.25" customHeight="1" x14ac:dyDescent="0.25">
      <c r="A108" s="194" t="s">
        <v>299</v>
      </c>
      <c r="B108" s="43" t="s">
        <v>51</v>
      </c>
      <c r="C108" s="43" t="s">
        <v>162</v>
      </c>
      <c r="D108" s="59" t="s">
        <v>8</v>
      </c>
      <c r="E108" s="67" t="s">
        <v>115</v>
      </c>
      <c r="F108" s="116">
        <f t="shared" si="3"/>
        <v>15000</v>
      </c>
      <c r="G108" s="45">
        <v>15000</v>
      </c>
      <c r="H108" s="45"/>
      <c r="I108" s="45"/>
    </row>
    <row r="109" spans="1:9" ht="15.75" customHeight="1" x14ac:dyDescent="0.25">
      <c r="A109" s="194" t="s">
        <v>300</v>
      </c>
      <c r="B109" s="43" t="s">
        <v>51</v>
      </c>
      <c r="C109" s="43" t="s">
        <v>162</v>
      </c>
      <c r="D109" s="63" t="s">
        <v>8</v>
      </c>
      <c r="E109" s="63" t="s">
        <v>172</v>
      </c>
      <c r="F109" s="45">
        <f t="shared" si="3"/>
        <v>10000</v>
      </c>
      <c r="G109" s="45">
        <v>10000</v>
      </c>
      <c r="H109" s="45"/>
      <c r="I109" s="45"/>
    </row>
    <row r="110" spans="1:9" ht="15.75" customHeight="1" x14ac:dyDescent="0.25">
      <c r="A110" s="194" t="s">
        <v>301</v>
      </c>
      <c r="B110" s="43" t="s">
        <v>127</v>
      </c>
      <c r="C110" s="43" t="s">
        <v>162</v>
      </c>
      <c r="D110" s="59" t="s">
        <v>8</v>
      </c>
      <c r="E110" s="58" t="s">
        <v>191</v>
      </c>
      <c r="F110" s="116">
        <f t="shared" si="3"/>
        <v>340000</v>
      </c>
      <c r="G110" s="45">
        <v>340000</v>
      </c>
      <c r="H110" s="45">
        <v>200100</v>
      </c>
      <c r="I110" s="45"/>
    </row>
    <row r="111" spans="1:9" ht="29.25" customHeight="1" x14ac:dyDescent="0.25">
      <c r="A111" s="166" t="s">
        <v>302</v>
      </c>
      <c r="B111" s="43" t="s">
        <v>52</v>
      </c>
      <c r="C111" s="43" t="s">
        <v>46</v>
      </c>
      <c r="D111" s="63" t="s">
        <v>117</v>
      </c>
      <c r="E111" s="68" t="s">
        <v>167</v>
      </c>
      <c r="F111" s="45">
        <f t="shared" si="3"/>
        <v>226212</v>
      </c>
      <c r="G111" s="45">
        <f>216000+10212</f>
        <v>226212</v>
      </c>
      <c r="H111" s="45">
        <v>144000</v>
      </c>
      <c r="I111" s="45"/>
    </row>
    <row r="112" spans="1:9" ht="31.5" customHeight="1" x14ac:dyDescent="0.25">
      <c r="A112" s="194" t="s">
        <v>303</v>
      </c>
      <c r="B112" s="166" t="s">
        <v>50</v>
      </c>
      <c r="C112" s="166" t="s">
        <v>46</v>
      </c>
      <c r="D112" s="168" t="s">
        <v>8</v>
      </c>
      <c r="E112" s="169" t="s">
        <v>340</v>
      </c>
      <c r="F112" s="45">
        <f t="shared" si="3"/>
        <v>25000</v>
      </c>
      <c r="G112" s="45">
        <v>25000</v>
      </c>
      <c r="H112" s="117"/>
      <c r="I112" s="45"/>
    </row>
    <row r="113" spans="1:9" ht="16.5" customHeight="1" x14ac:dyDescent="0.25">
      <c r="A113" s="194" t="s">
        <v>304</v>
      </c>
      <c r="B113" s="77" t="s">
        <v>52</v>
      </c>
      <c r="C113" s="43" t="s">
        <v>46</v>
      </c>
      <c r="D113" s="78" t="s">
        <v>8</v>
      </c>
      <c r="E113" s="70" t="s">
        <v>171</v>
      </c>
      <c r="F113" s="116">
        <f t="shared" si="3"/>
        <v>328812</v>
      </c>
      <c r="G113" s="116">
        <f>318877+9935</f>
        <v>328812</v>
      </c>
      <c r="H113" s="117"/>
      <c r="I113" s="45"/>
    </row>
    <row r="114" spans="1:9" ht="16.5" customHeight="1" x14ac:dyDescent="0.25">
      <c r="A114" s="194" t="s">
        <v>305</v>
      </c>
      <c r="B114" s="77" t="s">
        <v>52</v>
      </c>
      <c r="C114" s="154" t="s">
        <v>46</v>
      </c>
      <c r="D114" s="78" t="s">
        <v>8</v>
      </c>
      <c r="E114" s="70" t="s">
        <v>174</v>
      </c>
      <c r="F114" s="116">
        <f t="shared" si="3"/>
        <v>168000</v>
      </c>
      <c r="G114" s="116">
        <v>168000</v>
      </c>
      <c r="H114" s="117"/>
      <c r="I114" s="45"/>
    </row>
    <row r="115" spans="1:9" ht="16.5" customHeight="1" x14ac:dyDescent="0.25">
      <c r="A115" s="194" t="s">
        <v>306</v>
      </c>
      <c r="B115" s="77" t="s">
        <v>52</v>
      </c>
      <c r="C115" s="154" t="s">
        <v>46</v>
      </c>
      <c r="D115" s="78" t="s">
        <v>8</v>
      </c>
      <c r="E115" s="58" t="s">
        <v>178</v>
      </c>
      <c r="F115" s="116">
        <f t="shared" si="3"/>
        <v>122600</v>
      </c>
      <c r="G115" s="116">
        <f>122600</f>
        <v>122600</v>
      </c>
      <c r="H115" s="117"/>
      <c r="I115" s="45"/>
    </row>
    <row r="116" spans="1:9" ht="16.5" customHeight="1" x14ac:dyDescent="0.25">
      <c r="A116" s="194" t="s">
        <v>307</v>
      </c>
      <c r="B116" s="77" t="s">
        <v>52</v>
      </c>
      <c r="C116" s="154" t="s">
        <v>46</v>
      </c>
      <c r="D116" s="78" t="s">
        <v>8</v>
      </c>
      <c r="E116" s="70" t="s">
        <v>455</v>
      </c>
      <c r="F116" s="116">
        <f t="shared" si="3"/>
        <v>150400</v>
      </c>
      <c r="G116" s="116">
        <v>150400</v>
      </c>
      <c r="H116" s="117"/>
      <c r="I116" s="45"/>
    </row>
    <row r="117" spans="1:9" ht="16.5" customHeight="1" x14ac:dyDescent="0.25">
      <c r="A117" s="194" t="s">
        <v>308</v>
      </c>
      <c r="B117" s="77" t="s">
        <v>52</v>
      </c>
      <c r="C117" s="43" t="s">
        <v>46</v>
      </c>
      <c r="D117" s="78" t="s">
        <v>8</v>
      </c>
      <c r="E117" s="70" t="s">
        <v>20</v>
      </c>
      <c r="F117" s="116">
        <f t="shared" si="3"/>
        <v>36000</v>
      </c>
      <c r="G117" s="116">
        <v>36000</v>
      </c>
      <c r="H117" s="117"/>
      <c r="I117" s="45"/>
    </row>
    <row r="118" spans="1:9" ht="16.5" customHeight="1" x14ac:dyDescent="0.25">
      <c r="A118" s="194" t="s">
        <v>332</v>
      </c>
      <c r="B118" s="77" t="s">
        <v>52</v>
      </c>
      <c r="C118" s="43" t="s">
        <v>46</v>
      </c>
      <c r="D118" s="78" t="s">
        <v>8</v>
      </c>
      <c r="E118" s="76" t="s">
        <v>169</v>
      </c>
      <c r="F118" s="116">
        <f t="shared" si="3"/>
        <v>6828326</v>
      </c>
      <c r="G118" s="116">
        <f>7711598-883272</f>
        <v>6828326</v>
      </c>
      <c r="H118" s="117"/>
      <c r="I118" s="45"/>
    </row>
    <row r="119" spans="1:9" ht="16.5" customHeight="1" x14ac:dyDescent="0.25">
      <c r="A119" s="79" t="s">
        <v>309</v>
      </c>
      <c r="B119" s="77" t="s">
        <v>52</v>
      </c>
      <c r="C119" s="43" t="s">
        <v>46</v>
      </c>
      <c r="D119" s="78" t="s">
        <v>8</v>
      </c>
      <c r="E119" s="70" t="s">
        <v>170</v>
      </c>
      <c r="F119" s="116">
        <f t="shared" si="3"/>
        <v>2600</v>
      </c>
      <c r="G119" s="116">
        <v>2600</v>
      </c>
      <c r="H119" s="117"/>
      <c r="I119" s="45"/>
    </row>
    <row r="120" spans="1:9" ht="16.5" customHeight="1" x14ac:dyDescent="0.25">
      <c r="A120" s="194" t="s">
        <v>310</v>
      </c>
      <c r="B120" s="43" t="s">
        <v>52</v>
      </c>
      <c r="C120" s="43" t="s">
        <v>46</v>
      </c>
      <c r="D120" s="78" t="s">
        <v>8</v>
      </c>
      <c r="E120" s="70" t="s">
        <v>118</v>
      </c>
      <c r="F120" s="116">
        <f t="shared" si="3"/>
        <v>4400</v>
      </c>
      <c r="G120" s="45">
        <f>4000+400</f>
        <v>4400</v>
      </c>
      <c r="H120" s="45"/>
      <c r="I120" s="45"/>
    </row>
    <row r="121" spans="1:9" ht="16.5" customHeight="1" x14ac:dyDescent="0.25">
      <c r="A121" s="194" t="s">
        <v>311</v>
      </c>
      <c r="B121" s="43">
        <v>16</v>
      </c>
      <c r="C121" s="43" t="s">
        <v>46</v>
      </c>
      <c r="D121" s="78" t="s">
        <v>8</v>
      </c>
      <c r="E121" s="164" t="s">
        <v>452</v>
      </c>
      <c r="F121" s="116">
        <f t="shared" si="3"/>
        <v>20313</v>
      </c>
      <c r="G121" s="45">
        <f>15000+5313</f>
        <v>20313</v>
      </c>
      <c r="H121" s="45"/>
      <c r="I121" s="45"/>
    </row>
    <row r="122" spans="1:9" ht="16.5" customHeight="1" x14ac:dyDescent="0.25">
      <c r="A122" s="79" t="s">
        <v>454</v>
      </c>
      <c r="B122" s="77" t="s">
        <v>52</v>
      </c>
      <c r="C122" s="43" t="s">
        <v>46</v>
      </c>
      <c r="D122" s="78" t="s">
        <v>8</v>
      </c>
      <c r="E122" s="59" t="s">
        <v>114</v>
      </c>
      <c r="F122" s="116">
        <f t="shared" si="3"/>
        <v>5000</v>
      </c>
      <c r="G122" s="116">
        <v>5000</v>
      </c>
      <c r="H122" s="117"/>
      <c r="I122" s="45"/>
    </row>
    <row r="123" spans="1:9" ht="16.5" customHeight="1" x14ac:dyDescent="0.25">
      <c r="A123" s="166" t="s">
        <v>458</v>
      </c>
      <c r="B123" s="77" t="s">
        <v>127</v>
      </c>
      <c r="C123" s="148">
        <v>10</v>
      </c>
      <c r="D123" s="78" t="s">
        <v>8</v>
      </c>
      <c r="E123" s="59" t="s">
        <v>426</v>
      </c>
      <c r="F123" s="116">
        <f t="shared" si="3"/>
        <v>357544</v>
      </c>
      <c r="G123" s="116">
        <f>351900+5644</f>
        <v>357544</v>
      </c>
      <c r="H123" s="45">
        <v>198000</v>
      </c>
      <c r="I123" s="45"/>
    </row>
    <row r="124" spans="1:9" ht="16.5" customHeight="1" x14ac:dyDescent="0.25">
      <c r="A124" s="166" t="s">
        <v>482</v>
      </c>
      <c r="B124" s="173" t="s">
        <v>47</v>
      </c>
      <c r="C124" s="166" t="s">
        <v>46</v>
      </c>
      <c r="D124" s="174" t="s">
        <v>8</v>
      </c>
      <c r="E124" s="175" t="s">
        <v>325</v>
      </c>
      <c r="F124" s="116">
        <f t="shared" si="3"/>
        <v>3900</v>
      </c>
      <c r="G124" s="45">
        <v>3900</v>
      </c>
      <c r="H124" s="117"/>
      <c r="I124" s="45"/>
    </row>
    <row r="125" spans="1:9" ht="15.75" customHeight="1" x14ac:dyDescent="0.25">
      <c r="A125" s="166" t="s">
        <v>484</v>
      </c>
      <c r="B125" s="43"/>
      <c r="C125" s="5"/>
      <c r="D125" s="244" t="s">
        <v>151</v>
      </c>
      <c r="E125" s="244"/>
      <c r="F125" s="117">
        <f>SUM(F15,F17:F23,F24:F30,F32:F38,F40:F124)</f>
        <v>46716123</v>
      </c>
      <c r="G125" s="117">
        <f>SUM(G15,G17:G23,G24:G30,G32:G38,G40:G124)</f>
        <v>29429535</v>
      </c>
      <c r="H125" s="117">
        <f>SUM(H15,H17:H23,H24:H30,H33:H38,H40:H124)</f>
        <v>8294595</v>
      </c>
      <c r="I125" s="117">
        <f>SUM(I15,I17:I23,I24:I30,I33:I38,I40:I124)</f>
        <v>17286588</v>
      </c>
    </row>
    <row r="126" spans="1:9" x14ac:dyDescent="0.25">
      <c r="D126" s="80"/>
    </row>
  </sheetData>
  <mergeCells count="17">
    <mergeCell ref="D125:E125"/>
    <mergeCell ref="G12:H12"/>
    <mergeCell ref="I12:I14"/>
    <mergeCell ref="G13:G14"/>
    <mergeCell ref="H13:H14"/>
    <mergeCell ref="E11:E14"/>
    <mergeCell ref="F11:F14"/>
    <mergeCell ref="G11:I11"/>
    <mergeCell ref="F1:H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4"/>
  <sheetViews>
    <sheetView workbookViewId="0">
      <selection activeCell="E19" sqref="E19"/>
    </sheetView>
  </sheetViews>
  <sheetFormatPr defaultRowHeight="16.5" x14ac:dyDescent="0.25"/>
  <cols>
    <col min="1" max="1" width="5.5703125" style="53" customWidth="1"/>
    <col min="2" max="2" width="5.7109375" style="53" customWidth="1"/>
    <col min="3" max="3" width="6.140625" style="53" customWidth="1"/>
    <col min="4" max="4" width="34.5703125" style="53" customWidth="1"/>
    <col min="5" max="5" width="45.140625" style="53" customWidth="1"/>
    <col min="6" max="6" width="10" style="53" customWidth="1"/>
    <col min="7" max="7" width="9.85546875" style="53" customWidth="1"/>
    <col min="8" max="8" width="10" style="53" customWidth="1"/>
    <col min="9" max="9" width="10.7109375" style="53" customWidth="1"/>
    <col min="10" max="10" width="9.140625" style="53"/>
    <col min="11" max="11" width="11.5703125" style="53" bestFit="1" customWidth="1"/>
    <col min="12" max="12" width="9.140625" style="53"/>
    <col min="13" max="13" width="11.5703125" style="53" bestFit="1" customWidth="1"/>
    <col min="14" max="16384" width="9.140625" style="53"/>
  </cols>
  <sheetData>
    <row r="1" spans="1:9" x14ac:dyDescent="0.25">
      <c r="E1" s="195" t="s">
        <v>477</v>
      </c>
      <c r="F1" s="195"/>
      <c r="G1" s="195"/>
      <c r="H1" s="16"/>
    </row>
    <row r="2" spans="1:9" x14ac:dyDescent="0.25">
      <c r="E2" s="195" t="s">
        <v>478</v>
      </c>
      <c r="F2" s="195"/>
      <c r="G2" s="195"/>
      <c r="H2" s="195"/>
    </row>
    <row r="3" spans="1:9" ht="13.5" customHeight="1" x14ac:dyDescent="0.25">
      <c r="E3" s="249" t="s">
        <v>479</v>
      </c>
      <c r="F3" s="249"/>
      <c r="G3" s="249"/>
      <c r="H3" s="249"/>
    </row>
    <row r="4" spans="1:9" ht="13.5" customHeight="1" x14ac:dyDescent="0.25">
      <c r="E4" s="92" t="s">
        <v>495</v>
      </c>
      <c r="F4" s="92"/>
      <c r="G4" s="92"/>
      <c r="H4" s="92"/>
    </row>
    <row r="5" spans="1:9" ht="13.5" customHeight="1" x14ac:dyDescent="0.25">
      <c r="E5" s="183" t="s">
        <v>480</v>
      </c>
      <c r="F5" s="183"/>
      <c r="G5" s="183"/>
      <c r="H5" s="183"/>
    </row>
    <row r="6" spans="1:9" ht="16.5" customHeight="1" x14ac:dyDescent="0.25">
      <c r="C6" s="54" t="s">
        <v>399</v>
      </c>
      <c r="D6" s="54"/>
      <c r="E6" s="54"/>
      <c r="F6" s="54"/>
      <c r="G6" s="54"/>
      <c r="H6" s="54"/>
      <c r="I6" s="54"/>
    </row>
    <row r="7" spans="1:9" ht="15" customHeight="1" x14ac:dyDescent="0.25">
      <c r="A7" s="245" t="s">
        <v>386</v>
      </c>
      <c r="B7" s="245"/>
      <c r="C7" s="245"/>
      <c r="D7" s="245"/>
      <c r="E7" s="245"/>
      <c r="F7" s="245"/>
      <c r="G7" s="245"/>
      <c r="H7" s="245"/>
      <c r="I7" s="245"/>
    </row>
    <row r="8" spans="1:9" ht="15" customHeight="1" x14ac:dyDescent="0.25">
      <c r="A8" s="245" t="s">
        <v>393</v>
      </c>
      <c r="B8" s="245"/>
      <c r="C8" s="245"/>
      <c r="D8" s="245"/>
      <c r="E8" s="245"/>
      <c r="F8" s="245"/>
      <c r="G8" s="245"/>
      <c r="H8" s="245"/>
      <c r="I8" s="245"/>
    </row>
    <row r="9" spans="1:9" ht="14.25" customHeight="1" x14ac:dyDescent="0.25">
      <c r="A9" s="81"/>
      <c r="B9" s="81"/>
      <c r="C9" s="81"/>
      <c r="D9" s="248" t="s">
        <v>124</v>
      </c>
      <c r="E9" s="248"/>
      <c r="F9" s="248"/>
      <c r="G9" s="248"/>
      <c r="H9" s="248"/>
      <c r="I9" s="248"/>
    </row>
    <row r="10" spans="1:9" ht="6" hidden="1" customHeight="1" x14ac:dyDescent="0.25">
      <c r="A10" s="240" t="s">
        <v>60</v>
      </c>
      <c r="B10" s="240" t="s">
        <v>177</v>
      </c>
      <c r="C10" s="240" t="s">
        <v>176</v>
      </c>
      <c r="D10" s="240" t="s">
        <v>231</v>
      </c>
      <c r="E10" s="240" t="s">
        <v>125</v>
      </c>
      <c r="F10" s="237" t="s">
        <v>126</v>
      </c>
      <c r="G10" s="240"/>
      <c r="H10" s="240"/>
      <c r="I10" s="240"/>
    </row>
    <row r="11" spans="1:9" ht="18" customHeight="1" x14ac:dyDescent="0.25">
      <c r="A11" s="240"/>
      <c r="B11" s="240"/>
      <c r="C11" s="240"/>
      <c r="D11" s="240"/>
      <c r="E11" s="240"/>
      <c r="F11" s="238"/>
      <c r="G11" s="240" t="s">
        <v>108</v>
      </c>
      <c r="H11" s="240"/>
      <c r="I11" s="237" t="s">
        <v>394</v>
      </c>
    </row>
    <row r="12" spans="1:9" ht="12.75" customHeight="1" x14ac:dyDescent="0.25">
      <c r="A12" s="240"/>
      <c r="B12" s="240"/>
      <c r="C12" s="240"/>
      <c r="D12" s="240"/>
      <c r="E12" s="240"/>
      <c r="F12" s="238"/>
      <c r="G12" s="240" t="s">
        <v>4</v>
      </c>
      <c r="H12" s="240" t="s">
        <v>109</v>
      </c>
      <c r="I12" s="238"/>
    </row>
    <row r="13" spans="1:9" ht="83.25" customHeight="1" x14ac:dyDescent="0.25">
      <c r="A13" s="240"/>
      <c r="B13" s="240"/>
      <c r="C13" s="240"/>
      <c r="D13" s="240"/>
      <c r="E13" s="240"/>
      <c r="F13" s="239"/>
      <c r="G13" s="240"/>
      <c r="H13" s="240"/>
      <c r="I13" s="239"/>
    </row>
    <row r="14" spans="1:9" ht="16.5" customHeight="1" x14ac:dyDescent="0.25">
      <c r="A14" s="82" t="s">
        <v>37</v>
      </c>
      <c r="B14" s="82" t="s">
        <v>127</v>
      </c>
      <c r="C14" s="82" t="s">
        <v>127</v>
      </c>
      <c r="D14" s="55" t="s">
        <v>8</v>
      </c>
      <c r="E14" s="48" t="s">
        <v>128</v>
      </c>
      <c r="F14" s="34">
        <f t="shared" ref="F14:F26" si="0">SUM(G14+I14)</f>
        <v>1164</v>
      </c>
      <c r="G14" s="5">
        <v>1164</v>
      </c>
      <c r="H14" s="5">
        <v>890</v>
      </c>
      <c r="I14" s="5"/>
    </row>
    <row r="15" spans="1:9" ht="16.5" customHeight="1" x14ac:dyDescent="0.25">
      <c r="A15" s="82" t="s">
        <v>38</v>
      </c>
      <c r="B15" s="82" t="s">
        <v>127</v>
      </c>
      <c r="C15" s="82" t="s">
        <v>127</v>
      </c>
      <c r="D15" s="55" t="s">
        <v>8</v>
      </c>
      <c r="E15" s="48" t="s">
        <v>227</v>
      </c>
      <c r="F15" s="34">
        <f t="shared" si="0"/>
        <v>2000</v>
      </c>
      <c r="G15" s="5">
        <v>2000</v>
      </c>
      <c r="H15" s="5">
        <v>1530</v>
      </c>
      <c r="I15" s="5"/>
    </row>
    <row r="16" spans="1:9" ht="16.5" customHeight="1" x14ac:dyDescent="0.25">
      <c r="A16" s="82" t="s">
        <v>39</v>
      </c>
      <c r="B16" s="82" t="s">
        <v>127</v>
      </c>
      <c r="C16" s="82" t="s">
        <v>127</v>
      </c>
      <c r="D16" s="55" t="s">
        <v>8</v>
      </c>
      <c r="E16" s="48" t="s">
        <v>129</v>
      </c>
      <c r="F16" s="116">
        <f t="shared" si="0"/>
        <v>38900</v>
      </c>
      <c r="G16" s="5">
        <v>38900</v>
      </c>
      <c r="H16" s="5">
        <v>24400</v>
      </c>
      <c r="I16" s="5"/>
    </row>
    <row r="17" spans="1:9" ht="16.5" customHeight="1" x14ac:dyDescent="0.25">
      <c r="A17" s="82" t="s">
        <v>40</v>
      </c>
      <c r="B17" s="82" t="s">
        <v>127</v>
      </c>
      <c r="C17" s="82" t="s">
        <v>127</v>
      </c>
      <c r="D17" s="55" t="s">
        <v>8</v>
      </c>
      <c r="E17" s="48" t="s">
        <v>355</v>
      </c>
      <c r="F17" s="116">
        <f t="shared" si="0"/>
        <v>161400</v>
      </c>
      <c r="G17" s="5">
        <v>161400</v>
      </c>
      <c r="H17" s="45">
        <v>116030</v>
      </c>
      <c r="I17" s="5"/>
    </row>
    <row r="18" spans="1:9" ht="16.5" customHeight="1" x14ac:dyDescent="0.25">
      <c r="A18" s="82" t="s">
        <v>41</v>
      </c>
      <c r="B18" s="82" t="s">
        <v>127</v>
      </c>
      <c r="C18" s="82" t="s">
        <v>127</v>
      </c>
      <c r="D18" s="55" t="s">
        <v>8</v>
      </c>
      <c r="E18" s="48" t="s">
        <v>356</v>
      </c>
      <c r="F18" s="116">
        <f t="shared" si="0"/>
        <v>41600</v>
      </c>
      <c r="G18" s="5">
        <v>41600</v>
      </c>
      <c r="H18" s="45">
        <v>27300</v>
      </c>
      <c r="I18" s="5"/>
    </row>
    <row r="19" spans="1:9" ht="16.5" customHeight="1" x14ac:dyDescent="0.25">
      <c r="A19" s="82" t="s">
        <v>42</v>
      </c>
      <c r="B19" s="82" t="s">
        <v>127</v>
      </c>
      <c r="C19" s="82" t="s">
        <v>127</v>
      </c>
      <c r="D19" s="55" t="s">
        <v>8</v>
      </c>
      <c r="E19" s="48" t="s">
        <v>189</v>
      </c>
      <c r="F19" s="116">
        <f t="shared" si="0"/>
        <v>26400</v>
      </c>
      <c r="G19" s="5">
        <v>26400</v>
      </c>
      <c r="H19" s="5">
        <v>20200</v>
      </c>
      <c r="I19" s="5"/>
    </row>
    <row r="20" spans="1:9" ht="16.5" customHeight="1" x14ac:dyDescent="0.25">
      <c r="A20" s="83" t="s">
        <v>43</v>
      </c>
      <c r="B20" s="82" t="s">
        <v>127</v>
      </c>
      <c r="C20" s="82" t="s">
        <v>127</v>
      </c>
      <c r="D20" s="55" t="s">
        <v>8</v>
      </c>
      <c r="E20" s="48" t="s">
        <v>130</v>
      </c>
      <c r="F20" s="116">
        <f t="shared" si="0"/>
        <v>80100</v>
      </c>
      <c r="G20" s="5">
        <v>80100</v>
      </c>
      <c r="H20" s="45">
        <v>61160</v>
      </c>
      <c r="I20" s="5"/>
    </row>
    <row r="21" spans="1:9" ht="16.5" customHeight="1" x14ac:dyDescent="0.25">
      <c r="A21" s="82" t="s">
        <v>44</v>
      </c>
      <c r="B21" s="82" t="s">
        <v>127</v>
      </c>
      <c r="C21" s="82" t="s">
        <v>127</v>
      </c>
      <c r="D21" s="55" t="s">
        <v>8</v>
      </c>
      <c r="E21" s="34" t="s">
        <v>131</v>
      </c>
      <c r="F21" s="116">
        <f t="shared" si="0"/>
        <v>43473</v>
      </c>
      <c r="G21" s="9">
        <v>43473</v>
      </c>
      <c r="H21" s="119">
        <v>5250</v>
      </c>
      <c r="I21" s="9"/>
    </row>
    <row r="22" spans="1:9" ht="37.5" customHeight="1" x14ac:dyDescent="0.25">
      <c r="A22" s="84" t="s">
        <v>45</v>
      </c>
      <c r="B22" s="82" t="s">
        <v>127</v>
      </c>
      <c r="C22" s="82" t="s">
        <v>127</v>
      </c>
      <c r="D22" s="63" t="s">
        <v>8</v>
      </c>
      <c r="E22" s="57" t="s">
        <v>364</v>
      </c>
      <c r="F22" s="116">
        <f t="shared" si="0"/>
        <v>3000</v>
      </c>
      <c r="G22" s="5">
        <v>3000</v>
      </c>
      <c r="H22" s="5"/>
      <c r="I22" s="5"/>
    </row>
    <row r="23" spans="1:9" ht="17.25" customHeight="1" x14ac:dyDescent="0.25">
      <c r="A23" s="84" t="s">
        <v>46</v>
      </c>
      <c r="B23" s="82" t="s">
        <v>127</v>
      </c>
      <c r="C23" s="82" t="s">
        <v>127</v>
      </c>
      <c r="D23" s="55" t="s">
        <v>8</v>
      </c>
      <c r="E23" s="58" t="s">
        <v>132</v>
      </c>
      <c r="F23" s="116">
        <f t="shared" si="0"/>
        <v>20700</v>
      </c>
      <c r="G23" s="5">
        <v>20700</v>
      </c>
      <c r="H23" s="5"/>
      <c r="I23" s="5"/>
    </row>
    <row r="24" spans="1:9" ht="17.25" customHeight="1" x14ac:dyDescent="0.25">
      <c r="A24" s="84" t="s">
        <v>47</v>
      </c>
      <c r="B24" s="82" t="s">
        <v>127</v>
      </c>
      <c r="C24" s="82" t="s">
        <v>163</v>
      </c>
      <c r="D24" s="55" t="s">
        <v>8</v>
      </c>
      <c r="E24" s="48" t="s">
        <v>134</v>
      </c>
      <c r="F24" s="116">
        <f t="shared" si="0"/>
        <v>9400</v>
      </c>
      <c r="G24" s="4">
        <v>9400</v>
      </c>
      <c r="H24" s="4">
        <v>6400</v>
      </c>
      <c r="I24" s="5"/>
    </row>
    <row r="25" spans="1:9" ht="17.25" customHeight="1" x14ac:dyDescent="0.25">
      <c r="A25" s="82" t="s">
        <v>48</v>
      </c>
      <c r="B25" s="82" t="s">
        <v>127</v>
      </c>
      <c r="C25" s="82" t="s">
        <v>163</v>
      </c>
      <c r="D25" s="55" t="s">
        <v>8</v>
      </c>
      <c r="E25" s="58" t="s">
        <v>135</v>
      </c>
      <c r="F25" s="116">
        <f t="shared" si="0"/>
        <v>38418</v>
      </c>
      <c r="G25" s="4">
        <v>38418</v>
      </c>
      <c r="H25" s="45">
        <v>22890</v>
      </c>
      <c r="I25" s="5"/>
    </row>
    <row r="26" spans="1:9" ht="17.25" customHeight="1" x14ac:dyDescent="0.25">
      <c r="A26" s="82" t="s">
        <v>49</v>
      </c>
      <c r="B26" s="82" t="s">
        <v>165</v>
      </c>
      <c r="C26" s="82" t="s">
        <v>160</v>
      </c>
      <c r="D26" s="55" t="s">
        <v>8</v>
      </c>
      <c r="E26" s="5" t="s">
        <v>323</v>
      </c>
      <c r="F26" s="45">
        <f t="shared" si="0"/>
        <v>1332831</v>
      </c>
      <c r="G26" s="4">
        <v>1332831</v>
      </c>
      <c r="H26" s="45">
        <v>916640</v>
      </c>
      <c r="I26" s="5"/>
    </row>
    <row r="27" spans="1:9" ht="17.25" customHeight="1" x14ac:dyDescent="0.25">
      <c r="A27" s="84" t="s">
        <v>50</v>
      </c>
      <c r="B27" s="82" t="s">
        <v>127</v>
      </c>
      <c r="C27" s="82" t="s">
        <v>164</v>
      </c>
      <c r="D27" s="55" t="s">
        <v>8</v>
      </c>
      <c r="E27" s="65" t="s">
        <v>136</v>
      </c>
      <c r="F27" s="45">
        <f t="shared" ref="F27:F53" si="1">SUM(G27+I27)</f>
        <v>642900</v>
      </c>
      <c r="G27" s="4">
        <v>642900</v>
      </c>
      <c r="H27" s="45">
        <v>342330</v>
      </c>
      <c r="I27" s="5"/>
    </row>
    <row r="28" spans="1:9" ht="17.25" customHeight="1" x14ac:dyDescent="0.25">
      <c r="A28" s="84" t="s">
        <v>51</v>
      </c>
      <c r="B28" s="82" t="s">
        <v>161</v>
      </c>
      <c r="C28" s="82" t="s">
        <v>164</v>
      </c>
      <c r="D28" s="63" t="s">
        <v>8</v>
      </c>
      <c r="E28" s="85" t="s">
        <v>212</v>
      </c>
      <c r="F28" s="115">
        <f t="shared" si="1"/>
        <v>310000</v>
      </c>
      <c r="G28" s="4">
        <v>310000</v>
      </c>
      <c r="H28" s="5">
        <v>78000</v>
      </c>
      <c r="I28" s="5"/>
    </row>
    <row r="29" spans="1:9" ht="17.25" customHeight="1" x14ac:dyDescent="0.25">
      <c r="A29" s="84" t="s">
        <v>52</v>
      </c>
      <c r="B29" s="82" t="s">
        <v>166</v>
      </c>
      <c r="C29" s="82" t="s">
        <v>164</v>
      </c>
      <c r="D29" s="55" t="s">
        <v>8</v>
      </c>
      <c r="E29" s="58" t="s">
        <v>133</v>
      </c>
      <c r="F29" s="115">
        <f t="shared" si="1"/>
        <v>394700</v>
      </c>
      <c r="G29" s="5">
        <v>394700</v>
      </c>
      <c r="H29" s="5">
        <v>18500</v>
      </c>
      <c r="I29" s="5"/>
    </row>
    <row r="30" spans="1:9" ht="33.75" customHeight="1" x14ac:dyDescent="0.25">
      <c r="A30" s="84" t="s">
        <v>53</v>
      </c>
      <c r="B30" s="82" t="s">
        <v>52</v>
      </c>
      <c r="C30" s="82" t="s">
        <v>46</v>
      </c>
      <c r="D30" s="63" t="s">
        <v>8</v>
      </c>
      <c r="E30" s="86" t="s">
        <v>313</v>
      </c>
      <c r="F30" s="115">
        <f t="shared" si="1"/>
        <v>1084900</v>
      </c>
      <c r="G30" s="45">
        <f>SUM(G31:G33)</f>
        <v>1084900</v>
      </c>
      <c r="H30" s="45">
        <f>SUM(H31:H33)</f>
        <v>27120</v>
      </c>
      <c r="I30" s="45"/>
    </row>
    <row r="31" spans="1:9" ht="15" customHeight="1" x14ac:dyDescent="0.25">
      <c r="A31" s="82" t="s">
        <v>360</v>
      </c>
      <c r="B31" s="82" t="s">
        <v>52</v>
      </c>
      <c r="C31" s="82" t="s">
        <v>46</v>
      </c>
      <c r="D31" s="55" t="s">
        <v>8</v>
      </c>
      <c r="E31" s="58" t="s">
        <v>226</v>
      </c>
      <c r="F31" s="116">
        <f t="shared" si="1"/>
        <v>619380</v>
      </c>
      <c r="G31" s="45">
        <v>619380</v>
      </c>
      <c r="H31" s="45"/>
      <c r="I31" s="50"/>
    </row>
    <row r="32" spans="1:9" ht="15" customHeight="1" x14ac:dyDescent="0.25">
      <c r="A32" s="82" t="s">
        <v>361</v>
      </c>
      <c r="B32" s="82" t="s">
        <v>52</v>
      </c>
      <c r="C32" s="82" t="s">
        <v>46</v>
      </c>
      <c r="D32" s="55" t="s">
        <v>8</v>
      </c>
      <c r="E32" s="73" t="s">
        <v>137</v>
      </c>
      <c r="F32" s="116">
        <f t="shared" si="1"/>
        <v>430000</v>
      </c>
      <c r="G32" s="45">
        <v>430000</v>
      </c>
      <c r="H32" s="45"/>
      <c r="I32" s="50"/>
    </row>
    <row r="33" spans="1:9" ht="15" customHeight="1" x14ac:dyDescent="0.25">
      <c r="A33" s="82" t="s">
        <v>362</v>
      </c>
      <c r="B33" s="82" t="s">
        <v>127</v>
      </c>
      <c r="C33" s="82" t="s">
        <v>46</v>
      </c>
      <c r="D33" s="55" t="s">
        <v>8</v>
      </c>
      <c r="E33" s="73" t="s">
        <v>138</v>
      </c>
      <c r="F33" s="116">
        <f t="shared" si="1"/>
        <v>35520</v>
      </c>
      <c r="G33" s="45">
        <v>35520</v>
      </c>
      <c r="H33" s="45">
        <v>27120</v>
      </c>
      <c r="I33" s="50"/>
    </row>
    <row r="34" spans="1:9" ht="15" customHeight="1" x14ac:dyDescent="0.25">
      <c r="A34" s="82" t="s">
        <v>54</v>
      </c>
      <c r="B34" s="82" t="s">
        <v>52</v>
      </c>
      <c r="C34" s="82" t="s">
        <v>46</v>
      </c>
      <c r="D34" s="55" t="s">
        <v>8</v>
      </c>
      <c r="E34" s="73" t="s">
        <v>358</v>
      </c>
      <c r="F34" s="116">
        <f t="shared" si="1"/>
        <v>289800</v>
      </c>
      <c r="G34" s="4">
        <v>289800</v>
      </c>
      <c r="H34" s="16">
        <f>SUM(H35:H36)</f>
        <v>33350</v>
      </c>
      <c r="I34" s="50"/>
    </row>
    <row r="35" spans="1:9" ht="15" customHeight="1" x14ac:dyDescent="0.25">
      <c r="A35" s="82" t="s">
        <v>348</v>
      </c>
      <c r="B35" s="82" t="s">
        <v>37</v>
      </c>
      <c r="C35" s="82" t="s">
        <v>46</v>
      </c>
      <c r="D35" s="55" t="s">
        <v>8</v>
      </c>
      <c r="E35" s="73" t="s">
        <v>138</v>
      </c>
      <c r="F35" s="116">
        <f t="shared" si="1"/>
        <v>43680</v>
      </c>
      <c r="G35" s="4">
        <v>43680</v>
      </c>
      <c r="H35" s="4">
        <v>33350</v>
      </c>
      <c r="I35" s="50"/>
    </row>
    <row r="36" spans="1:9" ht="15" customHeight="1" x14ac:dyDescent="0.25">
      <c r="A36" s="82" t="s">
        <v>55</v>
      </c>
      <c r="B36" s="82" t="s">
        <v>52</v>
      </c>
      <c r="C36" s="82" t="s">
        <v>46</v>
      </c>
      <c r="D36" s="72" t="s">
        <v>369</v>
      </c>
      <c r="E36" s="73" t="s">
        <v>139</v>
      </c>
      <c r="F36" s="116">
        <f t="shared" si="1"/>
        <v>42000</v>
      </c>
      <c r="G36" s="4">
        <v>42000</v>
      </c>
      <c r="H36" s="45"/>
      <c r="I36" s="50"/>
    </row>
    <row r="37" spans="1:9" ht="15" customHeight="1" x14ac:dyDescent="0.25">
      <c r="A37" s="82" t="s">
        <v>56</v>
      </c>
      <c r="B37" s="82" t="s">
        <v>52</v>
      </c>
      <c r="C37" s="82" t="s">
        <v>46</v>
      </c>
      <c r="D37" s="55" t="s">
        <v>370</v>
      </c>
      <c r="E37" s="73" t="s">
        <v>139</v>
      </c>
      <c r="F37" s="116">
        <f t="shared" si="1"/>
        <v>53000</v>
      </c>
      <c r="G37" s="4">
        <v>53000</v>
      </c>
      <c r="H37" s="45"/>
      <c r="I37" s="50"/>
    </row>
    <row r="38" spans="1:9" ht="15" customHeight="1" x14ac:dyDescent="0.25">
      <c r="A38" s="82" t="s">
        <v>57</v>
      </c>
      <c r="B38" s="82" t="s">
        <v>52</v>
      </c>
      <c r="C38" s="82" t="s">
        <v>46</v>
      </c>
      <c r="D38" s="55" t="s">
        <v>371</v>
      </c>
      <c r="E38" s="73" t="s">
        <v>139</v>
      </c>
      <c r="F38" s="116">
        <f t="shared" si="1"/>
        <v>2000</v>
      </c>
      <c r="G38" s="4">
        <v>2000</v>
      </c>
      <c r="H38" s="45"/>
      <c r="I38" s="50"/>
    </row>
    <row r="39" spans="1:9" ht="15" customHeight="1" x14ac:dyDescent="0.25">
      <c r="A39" s="82" t="s">
        <v>58</v>
      </c>
      <c r="B39" s="82" t="s">
        <v>52</v>
      </c>
      <c r="C39" s="82" t="s">
        <v>46</v>
      </c>
      <c r="D39" s="55" t="s">
        <v>372</v>
      </c>
      <c r="E39" s="73" t="s">
        <v>139</v>
      </c>
      <c r="F39" s="116">
        <f t="shared" si="1"/>
        <v>7000</v>
      </c>
      <c r="G39" s="4">
        <v>7000</v>
      </c>
      <c r="H39" s="45"/>
      <c r="I39" s="50"/>
    </row>
    <row r="40" spans="1:9" ht="15" customHeight="1" x14ac:dyDescent="0.25">
      <c r="A40" s="82" t="s">
        <v>59</v>
      </c>
      <c r="B40" s="82" t="s">
        <v>52</v>
      </c>
      <c r="C40" s="82" t="s">
        <v>46</v>
      </c>
      <c r="D40" s="55" t="s">
        <v>373</v>
      </c>
      <c r="E40" s="73" t="s">
        <v>139</v>
      </c>
      <c r="F40" s="116">
        <f t="shared" si="1"/>
        <v>36000</v>
      </c>
      <c r="G40" s="4">
        <v>36000</v>
      </c>
      <c r="H40" s="45"/>
      <c r="I40" s="50"/>
    </row>
    <row r="41" spans="1:9" ht="15" customHeight="1" x14ac:dyDescent="0.25">
      <c r="A41" s="82" t="s">
        <v>69</v>
      </c>
      <c r="B41" s="82" t="s">
        <v>52</v>
      </c>
      <c r="C41" s="82" t="s">
        <v>46</v>
      </c>
      <c r="D41" s="55" t="s">
        <v>374</v>
      </c>
      <c r="E41" s="73" t="s">
        <v>139</v>
      </c>
      <c r="F41" s="116">
        <f t="shared" si="1"/>
        <v>26000</v>
      </c>
      <c r="G41" s="4">
        <v>26000</v>
      </c>
      <c r="H41" s="45"/>
      <c r="I41" s="50"/>
    </row>
    <row r="42" spans="1:9" ht="30.75" customHeight="1" x14ac:dyDescent="0.25">
      <c r="A42" s="82" t="s">
        <v>82</v>
      </c>
      <c r="B42" s="82" t="s">
        <v>52</v>
      </c>
      <c r="C42" s="82" t="s">
        <v>46</v>
      </c>
      <c r="D42" s="55" t="s">
        <v>375</v>
      </c>
      <c r="E42" s="73" t="s">
        <v>139</v>
      </c>
      <c r="F42" s="116">
        <f t="shared" si="1"/>
        <v>50000</v>
      </c>
      <c r="G42" s="4">
        <v>50000</v>
      </c>
      <c r="H42" s="45"/>
      <c r="I42" s="50"/>
    </row>
    <row r="43" spans="1:9" ht="15" customHeight="1" x14ac:dyDescent="0.25">
      <c r="A43" s="82" t="s">
        <v>119</v>
      </c>
      <c r="B43" s="82" t="s">
        <v>52</v>
      </c>
      <c r="C43" s="82" t="s">
        <v>46</v>
      </c>
      <c r="D43" s="74" t="s">
        <v>376</v>
      </c>
      <c r="E43" s="73" t="s">
        <v>139</v>
      </c>
      <c r="F43" s="116">
        <f t="shared" si="1"/>
        <v>35000</v>
      </c>
      <c r="G43" s="4">
        <v>35000</v>
      </c>
      <c r="H43" s="45"/>
      <c r="I43" s="50"/>
    </row>
    <row r="44" spans="1:9" ht="15" customHeight="1" x14ac:dyDescent="0.25">
      <c r="A44" s="82" t="s">
        <v>121</v>
      </c>
      <c r="B44" s="82" t="s">
        <v>52</v>
      </c>
      <c r="C44" s="82" t="s">
        <v>46</v>
      </c>
      <c r="D44" s="74" t="s">
        <v>377</v>
      </c>
      <c r="E44" s="73" t="s">
        <v>139</v>
      </c>
      <c r="F44" s="116">
        <f t="shared" si="1"/>
        <v>43000</v>
      </c>
      <c r="G44" s="4">
        <v>43000</v>
      </c>
      <c r="H44" s="45"/>
      <c r="I44" s="50"/>
    </row>
    <row r="45" spans="1:9" ht="15" customHeight="1" x14ac:dyDescent="0.25">
      <c r="A45" s="82" t="s">
        <v>252</v>
      </c>
      <c r="B45" s="82" t="s">
        <v>52</v>
      </c>
      <c r="C45" s="82" t="s">
        <v>46</v>
      </c>
      <c r="D45" s="74" t="s">
        <v>378</v>
      </c>
      <c r="E45" s="73" t="s">
        <v>139</v>
      </c>
      <c r="F45" s="116">
        <f t="shared" si="1"/>
        <v>38000</v>
      </c>
      <c r="G45" s="4">
        <v>38000</v>
      </c>
      <c r="H45" s="45"/>
      <c r="I45" s="50"/>
    </row>
    <row r="46" spans="1:9" ht="15" customHeight="1" x14ac:dyDescent="0.25">
      <c r="A46" s="82" t="s">
        <v>140</v>
      </c>
      <c r="B46" s="82" t="s">
        <v>52</v>
      </c>
      <c r="C46" s="82" t="s">
        <v>46</v>
      </c>
      <c r="D46" s="5" t="s">
        <v>379</v>
      </c>
      <c r="E46" s="5" t="s">
        <v>139</v>
      </c>
      <c r="F46" s="116">
        <f t="shared" si="1"/>
        <v>67000</v>
      </c>
      <c r="G46" s="4">
        <v>67000</v>
      </c>
      <c r="H46" s="45"/>
      <c r="I46" s="50"/>
    </row>
    <row r="47" spans="1:9" ht="15" customHeight="1" x14ac:dyDescent="0.25">
      <c r="A47" s="82" t="s">
        <v>141</v>
      </c>
      <c r="B47" s="82" t="s">
        <v>52</v>
      </c>
      <c r="C47" s="82" t="s">
        <v>46</v>
      </c>
      <c r="D47" s="5" t="s">
        <v>380</v>
      </c>
      <c r="E47" s="5" t="s">
        <v>139</v>
      </c>
      <c r="F47" s="45">
        <f t="shared" si="1"/>
        <v>61000</v>
      </c>
      <c r="G47" s="4">
        <v>61000</v>
      </c>
      <c r="H47" s="45"/>
      <c r="I47" s="50"/>
    </row>
    <row r="48" spans="1:9" ht="15" customHeight="1" x14ac:dyDescent="0.25">
      <c r="A48" s="82" t="s">
        <v>142</v>
      </c>
      <c r="B48" s="82" t="s">
        <v>52</v>
      </c>
      <c r="C48" s="82" t="s">
        <v>46</v>
      </c>
      <c r="D48" s="5" t="s">
        <v>324</v>
      </c>
      <c r="E48" s="5" t="s">
        <v>139</v>
      </c>
      <c r="F48" s="116">
        <f t="shared" si="1"/>
        <v>98000</v>
      </c>
      <c r="G48" s="4">
        <v>98000</v>
      </c>
      <c r="H48" s="45"/>
      <c r="I48" s="50"/>
    </row>
    <row r="49" spans="1:9" ht="30.75" customHeight="1" x14ac:dyDescent="0.25">
      <c r="A49" s="82" t="s">
        <v>143</v>
      </c>
      <c r="B49" s="82" t="s">
        <v>52</v>
      </c>
      <c r="C49" s="82" t="s">
        <v>46</v>
      </c>
      <c r="D49" s="55" t="s">
        <v>382</v>
      </c>
      <c r="E49" s="5" t="s">
        <v>139</v>
      </c>
      <c r="F49" s="45">
        <f t="shared" si="1"/>
        <v>120000</v>
      </c>
      <c r="G49" s="4">
        <v>120000</v>
      </c>
      <c r="H49" s="45"/>
      <c r="I49" s="50"/>
    </row>
    <row r="50" spans="1:9" ht="16.5" customHeight="1" x14ac:dyDescent="0.25">
      <c r="A50" s="82" t="s">
        <v>144</v>
      </c>
      <c r="B50" s="82" t="s">
        <v>52</v>
      </c>
      <c r="C50" s="82" t="s">
        <v>46</v>
      </c>
      <c r="D50" s="55" t="s">
        <v>381</v>
      </c>
      <c r="E50" s="5" t="s">
        <v>139</v>
      </c>
      <c r="F50" s="45">
        <f t="shared" si="1"/>
        <v>168000</v>
      </c>
      <c r="G50" s="4">
        <v>168000</v>
      </c>
      <c r="H50" s="45"/>
      <c r="I50" s="50"/>
    </row>
    <row r="51" spans="1:9" ht="16.5" customHeight="1" x14ac:dyDescent="0.25">
      <c r="A51" s="82" t="s">
        <v>145</v>
      </c>
      <c r="B51" s="82" t="s">
        <v>52</v>
      </c>
      <c r="C51" s="82" t="s">
        <v>46</v>
      </c>
      <c r="D51" s="74" t="s">
        <v>117</v>
      </c>
      <c r="E51" s="73" t="s">
        <v>174</v>
      </c>
      <c r="F51" s="115">
        <f>SUM(G51+I51)</f>
        <v>78000</v>
      </c>
      <c r="G51" s="136">
        <v>78000</v>
      </c>
      <c r="H51" s="4">
        <v>59550</v>
      </c>
      <c r="I51" s="50"/>
    </row>
    <row r="52" spans="1:9" ht="16.5" customHeight="1" x14ac:dyDescent="0.25">
      <c r="A52" s="82" t="s">
        <v>146</v>
      </c>
      <c r="B52" s="82" t="s">
        <v>52</v>
      </c>
      <c r="C52" s="82" t="s">
        <v>46</v>
      </c>
      <c r="D52" s="74" t="s">
        <v>8</v>
      </c>
      <c r="E52" s="73" t="s">
        <v>148</v>
      </c>
      <c r="F52" s="116">
        <f t="shared" si="1"/>
        <v>601800</v>
      </c>
      <c r="G52" s="136">
        <v>601800</v>
      </c>
      <c r="H52" s="4">
        <f>SUM(H53)</f>
        <v>15120</v>
      </c>
      <c r="I52" s="50"/>
    </row>
    <row r="53" spans="1:9" ht="16.5" customHeight="1" x14ac:dyDescent="0.25">
      <c r="A53" s="88" t="s">
        <v>363</v>
      </c>
      <c r="B53" s="82" t="s">
        <v>127</v>
      </c>
      <c r="C53" s="82" t="s">
        <v>46</v>
      </c>
      <c r="D53" s="74" t="s">
        <v>8</v>
      </c>
      <c r="E53" s="73" t="s">
        <v>138</v>
      </c>
      <c r="F53" s="34">
        <f t="shared" si="1"/>
        <v>19800</v>
      </c>
      <c r="G53" s="130">
        <v>19800</v>
      </c>
      <c r="H53" s="45">
        <v>15120</v>
      </c>
      <c r="I53" s="50"/>
    </row>
    <row r="54" spans="1:9" ht="15.75" customHeight="1" x14ac:dyDescent="0.25">
      <c r="A54" s="88" t="s">
        <v>147</v>
      </c>
      <c r="B54" s="82" t="s">
        <v>52</v>
      </c>
      <c r="C54" s="82" t="s">
        <v>46</v>
      </c>
      <c r="D54" s="55" t="s">
        <v>8</v>
      </c>
      <c r="E54" s="58" t="s">
        <v>178</v>
      </c>
      <c r="F54" s="48">
        <f t="shared" ref="F54:F63" si="2">SUM(G54+I54)</f>
        <v>436200</v>
      </c>
      <c r="G54" s="136">
        <v>436200</v>
      </c>
      <c r="H54" s="4"/>
      <c r="I54" s="50"/>
    </row>
    <row r="55" spans="1:9" ht="15.75" customHeight="1" x14ac:dyDescent="0.25">
      <c r="A55" s="139" t="s">
        <v>149</v>
      </c>
      <c r="B55" s="137" t="s">
        <v>48</v>
      </c>
      <c r="C55" s="137" t="s">
        <v>161</v>
      </c>
      <c r="D55" s="3" t="s">
        <v>122</v>
      </c>
      <c r="E55" s="14" t="s">
        <v>398</v>
      </c>
      <c r="F55" s="140">
        <f t="shared" si="2"/>
        <v>241600</v>
      </c>
      <c r="G55" s="136">
        <v>241600</v>
      </c>
      <c r="H55" s="45">
        <v>160000</v>
      </c>
      <c r="I55" s="6"/>
    </row>
    <row r="56" spans="1:9" ht="15.75" customHeight="1" x14ac:dyDescent="0.25">
      <c r="A56" s="82" t="s">
        <v>150</v>
      </c>
      <c r="B56" s="82" t="s">
        <v>49</v>
      </c>
      <c r="C56" s="82" t="s">
        <v>165</v>
      </c>
      <c r="D56" s="55" t="s">
        <v>8</v>
      </c>
      <c r="E56" s="58" t="s">
        <v>359</v>
      </c>
      <c r="F56" s="115">
        <f t="shared" si="2"/>
        <v>800000</v>
      </c>
      <c r="G56" s="130"/>
      <c r="H56" s="45"/>
      <c r="I56" s="45">
        <v>800000</v>
      </c>
    </row>
    <row r="57" spans="1:9" ht="15.75" customHeight="1" x14ac:dyDescent="0.25">
      <c r="A57" s="82" t="s">
        <v>179</v>
      </c>
      <c r="B57" s="82" t="s">
        <v>49</v>
      </c>
      <c r="C57" s="82" t="s">
        <v>165</v>
      </c>
      <c r="D57" s="55" t="s">
        <v>8</v>
      </c>
      <c r="E57" s="73" t="s">
        <v>486</v>
      </c>
      <c r="F57" s="115">
        <f t="shared" si="2"/>
        <v>74400</v>
      </c>
      <c r="G57" s="130">
        <v>74400</v>
      </c>
      <c r="H57" s="45"/>
      <c r="I57" s="45"/>
    </row>
    <row r="58" spans="1:9" ht="15.75" customHeight="1" x14ac:dyDescent="0.25">
      <c r="A58" s="82" t="s">
        <v>180</v>
      </c>
      <c r="B58" s="82" t="s">
        <v>49</v>
      </c>
      <c r="C58" s="82" t="s">
        <v>165</v>
      </c>
      <c r="D58" s="5" t="s">
        <v>18</v>
      </c>
      <c r="E58" s="5" t="s">
        <v>175</v>
      </c>
      <c r="F58" s="115">
        <f t="shared" si="2"/>
        <v>76700</v>
      </c>
      <c r="G58" s="130">
        <v>76700</v>
      </c>
      <c r="H58" s="45">
        <v>58560</v>
      </c>
      <c r="I58" s="45"/>
    </row>
    <row r="59" spans="1:9" ht="15.75" customHeight="1" x14ac:dyDescent="0.25">
      <c r="A59" s="82" t="s">
        <v>180</v>
      </c>
      <c r="B59" s="82" t="s">
        <v>49</v>
      </c>
      <c r="C59" s="82" t="s">
        <v>165</v>
      </c>
      <c r="D59" s="70" t="s">
        <v>19</v>
      </c>
      <c r="E59" s="5" t="s">
        <v>6</v>
      </c>
      <c r="F59" s="115">
        <f t="shared" si="2"/>
        <v>13900</v>
      </c>
      <c r="G59" s="130">
        <v>13900</v>
      </c>
      <c r="H59" s="45">
        <v>10614</v>
      </c>
      <c r="I59" s="45"/>
    </row>
    <row r="60" spans="1:9" ht="15.75" customHeight="1" x14ac:dyDescent="0.25">
      <c r="A60" s="82" t="s">
        <v>181</v>
      </c>
      <c r="B60" s="137" t="s">
        <v>48</v>
      </c>
      <c r="C60" s="137" t="s">
        <v>161</v>
      </c>
      <c r="D60" s="3" t="s">
        <v>8</v>
      </c>
      <c r="E60" s="14" t="s">
        <v>397</v>
      </c>
      <c r="F60" s="138">
        <f t="shared" si="2"/>
        <v>394000</v>
      </c>
      <c r="G60" s="136"/>
      <c r="H60" s="4"/>
      <c r="I60" s="4">
        <v>394000</v>
      </c>
    </row>
    <row r="61" spans="1:9" ht="15.75" customHeight="1" x14ac:dyDescent="0.25">
      <c r="A61" s="82" t="s">
        <v>182</v>
      </c>
      <c r="B61" s="82" t="s">
        <v>52</v>
      </c>
      <c r="C61" s="82" t="s">
        <v>46</v>
      </c>
      <c r="D61" s="74" t="s">
        <v>8</v>
      </c>
      <c r="E61" s="14" t="s">
        <v>485</v>
      </c>
      <c r="F61" s="138">
        <f t="shared" si="2"/>
        <v>129000</v>
      </c>
      <c r="G61" s="136">
        <v>129000</v>
      </c>
      <c r="H61" s="4"/>
      <c r="I61" s="4"/>
    </row>
    <row r="62" spans="1:9" ht="15.75" customHeight="1" x14ac:dyDescent="0.25">
      <c r="A62" s="82" t="s">
        <v>183</v>
      </c>
      <c r="B62" s="137" t="s">
        <v>51</v>
      </c>
      <c r="C62" s="82" t="s">
        <v>162</v>
      </c>
      <c r="D62" s="5" t="s">
        <v>324</v>
      </c>
      <c r="E62" s="14" t="s">
        <v>469</v>
      </c>
      <c r="F62" s="138">
        <f t="shared" si="2"/>
        <v>380000</v>
      </c>
      <c r="G62" s="136"/>
      <c r="H62" s="4"/>
      <c r="I62" s="4">
        <v>380000</v>
      </c>
    </row>
    <row r="63" spans="1:9" ht="15.75" customHeight="1" x14ac:dyDescent="0.25">
      <c r="A63" s="82" t="s">
        <v>253</v>
      </c>
      <c r="B63" s="82" t="s">
        <v>51</v>
      </c>
      <c r="C63" s="82" t="s">
        <v>162</v>
      </c>
      <c r="D63" s="55" t="s">
        <v>381</v>
      </c>
      <c r="E63" s="73" t="s">
        <v>387</v>
      </c>
      <c r="F63" s="138">
        <f t="shared" si="2"/>
        <v>56500</v>
      </c>
      <c r="G63" s="4">
        <v>56500</v>
      </c>
      <c r="H63" s="45">
        <v>12050</v>
      </c>
      <c r="I63" s="4"/>
    </row>
    <row r="64" spans="1:9" ht="15.75" customHeight="1" x14ac:dyDescent="0.25">
      <c r="A64" s="82" t="s">
        <v>254</v>
      </c>
      <c r="B64" s="84"/>
      <c r="C64" s="89"/>
      <c r="D64" s="246" t="s">
        <v>151</v>
      </c>
      <c r="E64" s="247"/>
      <c r="F64" s="90">
        <f>SUM(F14:F30,F34,F36:F52,F54,F56,F63,F55,F60,F62,F57:F59,F61)</f>
        <v>8649786</v>
      </c>
      <c r="G64" s="90">
        <f>SUM(G14:G30,G34,G36:G52,G54,G56,G63,G55,G60,G62,G57:G59,G61)</f>
        <v>7075786</v>
      </c>
      <c r="H64" s="90">
        <f>SUM(H14:H30,H34,H36:H52,H54,H56,H63,H55,H60,H62,H57:H59)</f>
        <v>2017884</v>
      </c>
      <c r="I64" s="91">
        <f>SUM(I14:I30,I34,I36:I52,I54,I56,I63,I55,I60,I62)</f>
        <v>1574000</v>
      </c>
    </row>
  </sheetData>
  <mergeCells count="18">
    <mergeCell ref="E1:G1"/>
    <mergeCell ref="D64:E64"/>
    <mergeCell ref="D9:I9"/>
    <mergeCell ref="E10:E13"/>
    <mergeCell ref="F10:F13"/>
    <mergeCell ref="G10:I10"/>
    <mergeCell ref="G11:H11"/>
    <mergeCell ref="I11:I13"/>
    <mergeCell ref="G12:G13"/>
    <mergeCell ref="H12:H13"/>
    <mergeCell ref="E2:H2"/>
    <mergeCell ref="E3:H3"/>
    <mergeCell ref="A10:A13"/>
    <mergeCell ref="B10:B13"/>
    <mergeCell ref="C10:C13"/>
    <mergeCell ref="D10:D13"/>
    <mergeCell ref="A7:I7"/>
    <mergeCell ref="A8:I8"/>
  </mergeCells>
  <phoneticPr fontId="0" type="noConversion"/>
  <pageMargins left="0.15748031496062992" right="0" top="0.98425196850393704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4" sqref="G24"/>
    </sheetView>
  </sheetViews>
  <sheetFormatPr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41.5703125" style="16" customWidth="1"/>
    <col min="5" max="5" width="29.5703125" style="16" customWidth="1"/>
    <col min="6" max="6" width="10.5703125" style="16" customWidth="1"/>
    <col min="7" max="7" width="10.7109375" style="16" customWidth="1"/>
    <col min="8" max="8" width="11" style="16" customWidth="1"/>
    <col min="9" max="9" width="9.42578125" style="16" customWidth="1"/>
    <col min="10" max="16384" width="9.140625" style="16"/>
  </cols>
  <sheetData>
    <row r="1" spans="1:9" ht="15" customHeight="1" x14ac:dyDescent="0.25">
      <c r="E1" s="254" t="s">
        <v>487</v>
      </c>
      <c r="F1" s="254"/>
      <c r="G1" s="254"/>
      <c r="H1" s="254"/>
    </row>
    <row r="2" spans="1:9" ht="15" customHeight="1" x14ac:dyDescent="0.25">
      <c r="E2" s="92" t="s">
        <v>489</v>
      </c>
      <c r="F2" s="92"/>
      <c r="G2" s="92"/>
      <c r="H2" s="92"/>
    </row>
    <row r="3" spans="1:9" ht="14.25" customHeight="1" x14ac:dyDescent="0.25">
      <c r="E3" s="195" t="s">
        <v>404</v>
      </c>
      <c r="F3" s="195"/>
      <c r="G3" s="195"/>
      <c r="H3" s="195"/>
    </row>
    <row r="4" spans="1:9" ht="15.75" customHeight="1" x14ac:dyDescent="0.25">
      <c r="E4" s="182"/>
      <c r="F4" s="182"/>
      <c r="G4" s="36"/>
      <c r="H4" s="51"/>
      <c r="I4" s="51"/>
    </row>
    <row r="5" spans="1:9" ht="13.5" customHeight="1" x14ac:dyDescent="0.25">
      <c r="E5" s="1"/>
      <c r="F5" s="1"/>
      <c r="G5" s="1"/>
      <c r="H5" s="51"/>
      <c r="I5" s="51"/>
    </row>
    <row r="6" spans="1:9" ht="16.5" customHeight="1" x14ac:dyDescent="0.25">
      <c r="C6" s="24" t="s">
        <v>399</v>
      </c>
      <c r="D6" s="24"/>
      <c r="E6" s="24"/>
      <c r="F6" s="24"/>
      <c r="G6" s="24"/>
      <c r="H6" s="24"/>
    </row>
    <row r="7" spans="1:9" ht="14.25" customHeight="1" x14ac:dyDescent="0.25">
      <c r="C7" s="197" t="s">
        <v>184</v>
      </c>
      <c r="D7" s="197"/>
      <c r="E7" s="197"/>
      <c r="F7" s="197"/>
      <c r="G7" s="197"/>
      <c r="H7" s="197"/>
    </row>
    <row r="8" spans="1:9" ht="14.25" customHeight="1" x14ac:dyDescent="0.25">
      <c r="A8" s="17"/>
      <c r="B8" s="17"/>
      <c r="C8" s="17"/>
      <c r="D8" s="255" t="s">
        <v>124</v>
      </c>
      <c r="E8" s="255"/>
      <c r="F8" s="255"/>
      <c r="G8" s="255"/>
      <c r="H8" s="255"/>
    </row>
    <row r="9" spans="1:9" ht="8.25" hidden="1" customHeight="1" x14ac:dyDescent="0.25">
      <c r="A9" s="253" t="s">
        <v>60</v>
      </c>
      <c r="B9" s="253" t="s">
        <v>193</v>
      </c>
      <c r="C9" s="253" t="s">
        <v>194</v>
      </c>
      <c r="D9" s="253" t="s">
        <v>232</v>
      </c>
      <c r="E9" s="253" t="s">
        <v>125</v>
      </c>
      <c r="F9" s="230" t="s">
        <v>126</v>
      </c>
      <c r="G9" s="253"/>
      <c r="H9" s="253"/>
    </row>
    <row r="10" spans="1:9" ht="14.25" customHeight="1" x14ac:dyDescent="0.25">
      <c r="A10" s="253"/>
      <c r="B10" s="253"/>
      <c r="C10" s="253"/>
      <c r="D10" s="253"/>
      <c r="E10" s="253"/>
      <c r="F10" s="231"/>
      <c r="G10" s="253" t="s">
        <v>108</v>
      </c>
      <c r="H10" s="253"/>
      <c r="I10" s="230" t="s">
        <v>394</v>
      </c>
    </row>
    <row r="11" spans="1:9" ht="12.75" customHeight="1" x14ac:dyDescent="0.25">
      <c r="A11" s="253"/>
      <c r="B11" s="253"/>
      <c r="C11" s="253"/>
      <c r="D11" s="253"/>
      <c r="E11" s="253"/>
      <c r="F11" s="231"/>
      <c r="G11" s="253" t="s">
        <v>4</v>
      </c>
      <c r="H11" s="253" t="s">
        <v>109</v>
      </c>
      <c r="I11" s="231"/>
    </row>
    <row r="12" spans="1:9" ht="34.5" customHeight="1" x14ac:dyDescent="0.25">
      <c r="A12" s="253"/>
      <c r="B12" s="253"/>
      <c r="C12" s="253"/>
      <c r="D12" s="253"/>
      <c r="E12" s="253"/>
      <c r="F12" s="232"/>
      <c r="G12" s="253"/>
      <c r="H12" s="253"/>
      <c r="I12" s="232"/>
    </row>
    <row r="13" spans="1:9" ht="15.75" customHeight="1" x14ac:dyDescent="0.25">
      <c r="A13" s="19" t="s">
        <v>37</v>
      </c>
      <c r="B13" s="19" t="s">
        <v>51</v>
      </c>
      <c r="C13" s="19" t="s">
        <v>162</v>
      </c>
      <c r="D13" s="11" t="s">
        <v>369</v>
      </c>
      <c r="E13" s="4" t="s">
        <v>192</v>
      </c>
      <c r="F13" s="4">
        <f>SUM(G13+I13)</f>
        <v>738680</v>
      </c>
      <c r="G13" s="4">
        <v>738680</v>
      </c>
      <c r="H13" s="4">
        <v>548870</v>
      </c>
      <c r="I13" s="4"/>
    </row>
    <row r="14" spans="1:9" ht="15.75" customHeight="1" x14ac:dyDescent="0.25">
      <c r="A14" s="19" t="s">
        <v>38</v>
      </c>
      <c r="B14" s="19" t="s">
        <v>51</v>
      </c>
      <c r="C14" s="19" t="s">
        <v>162</v>
      </c>
      <c r="D14" s="3" t="s">
        <v>370</v>
      </c>
      <c r="E14" s="4" t="s">
        <v>192</v>
      </c>
      <c r="F14" s="4">
        <f t="shared" ref="F14:F32" si="0">SUM(G14+I14)</f>
        <v>776910</v>
      </c>
      <c r="G14" s="4">
        <v>776910</v>
      </c>
      <c r="H14" s="4">
        <v>579110</v>
      </c>
      <c r="I14" s="4"/>
    </row>
    <row r="15" spans="1:9" ht="15.75" customHeight="1" x14ac:dyDescent="0.25">
      <c r="A15" s="19" t="s">
        <v>39</v>
      </c>
      <c r="B15" s="19" t="s">
        <v>51</v>
      </c>
      <c r="C15" s="19" t="s">
        <v>162</v>
      </c>
      <c r="D15" s="3" t="s">
        <v>371</v>
      </c>
      <c r="E15" s="4" t="s">
        <v>192</v>
      </c>
      <c r="F15" s="4">
        <f t="shared" si="0"/>
        <v>100100</v>
      </c>
      <c r="G15" s="4">
        <v>100100</v>
      </c>
      <c r="H15" s="4">
        <v>74800</v>
      </c>
      <c r="I15" s="4"/>
    </row>
    <row r="16" spans="1:9" ht="15.75" customHeight="1" x14ac:dyDescent="0.25">
      <c r="A16" s="19" t="s">
        <v>40</v>
      </c>
      <c r="B16" s="19" t="s">
        <v>51</v>
      </c>
      <c r="C16" s="19" t="s">
        <v>162</v>
      </c>
      <c r="D16" s="3" t="s">
        <v>372</v>
      </c>
      <c r="E16" s="4" t="s">
        <v>192</v>
      </c>
      <c r="F16" s="4">
        <f t="shared" si="0"/>
        <v>269500</v>
      </c>
      <c r="G16" s="4">
        <v>269500</v>
      </c>
      <c r="H16" s="4">
        <v>200100</v>
      </c>
      <c r="I16" s="4"/>
    </row>
    <row r="17" spans="1:9" ht="15.75" customHeight="1" x14ac:dyDescent="0.25">
      <c r="A17" s="19" t="s">
        <v>41</v>
      </c>
      <c r="B17" s="19" t="s">
        <v>51</v>
      </c>
      <c r="C17" s="19" t="s">
        <v>162</v>
      </c>
      <c r="D17" s="3" t="s">
        <v>373</v>
      </c>
      <c r="E17" s="4" t="s">
        <v>187</v>
      </c>
      <c r="F17" s="4">
        <f t="shared" si="0"/>
        <v>501090</v>
      </c>
      <c r="G17" s="4">
        <v>501090</v>
      </c>
      <c r="H17" s="4">
        <v>377680</v>
      </c>
      <c r="I17" s="4"/>
    </row>
    <row r="18" spans="1:9" ht="15.75" customHeight="1" x14ac:dyDescent="0.25">
      <c r="A18" s="19" t="s">
        <v>42</v>
      </c>
      <c r="B18" s="19" t="s">
        <v>51</v>
      </c>
      <c r="C18" s="19" t="s">
        <v>162</v>
      </c>
      <c r="D18" s="3" t="s">
        <v>374</v>
      </c>
      <c r="E18" s="4" t="s">
        <v>187</v>
      </c>
      <c r="F18" s="4">
        <f t="shared" si="0"/>
        <v>454480</v>
      </c>
      <c r="G18" s="4">
        <v>454480</v>
      </c>
      <c r="H18" s="4">
        <v>343270</v>
      </c>
      <c r="I18" s="4"/>
    </row>
    <row r="19" spans="1:9" ht="18.75" customHeight="1" x14ac:dyDescent="0.25">
      <c r="A19" s="19" t="s">
        <v>43</v>
      </c>
      <c r="B19" s="19" t="s">
        <v>51</v>
      </c>
      <c r="C19" s="19" t="s">
        <v>162</v>
      </c>
      <c r="D19" s="3" t="s">
        <v>375</v>
      </c>
      <c r="E19" s="4" t="s">
        <v>187</v>
      </c>
      <c r="F19" s="4">
        <f t="shared" si="0"/>
        <v>731060</v>
      </c>
      <c r="G19" s="4">
        <v>725060</v>
      </c>
      <c r="H19" s="5">
        <v>497280</v>
      </c>
      <c r="I19" s="4">
        <v>6000</v>
      </c>
    </row>
    <row r="20" spans="1:9" ht="15.75" customHeight="1" x14ac:dyDescent="0.25">
      <c r="A20" s="19" t="s">
        <v>44</v>
      </c>
      <c r="B20" s="19" t="s">
        <v>51</v>
      </c>
      <c r="C20" s="19" t="s">
        <v>162</v>
      </c>
      <c r="D20" s="2" t="s">
        <v>376</v>
      </c>
      <c r="E20" s="4" t="s">
        <v>187</v>
      </c>
      <c r="F20" s="4">
        <f t="shared" si="0"/>
        <v>648210</v>
      </c>
      <c r="G20" s="4">
        <v>648210</v>
      </c>
      <c r="H20" s="4">
        <v>488560</v>
      </c>
      <c r="I20" s="4"/>
    </row>
    <row r="21" spans="1:9" ht="15.75" customHeight="1" x14ac:dyDescent="0.25">
      <c r="A21" s="19" t="s">
        <v>45</v>
      </c>
      <c r="B21" s="19" t="s">
        <v>51</v>
      </c>
      <c r="C21" s="19" t="s">
        <v>162</v>
      </c>
      <c r="D21" s="2" t="s">
        <v>377</v>
      </c>
      <c r="E21" s="4" t="s">
        <v>187</v>
      </c>
      <c r="F21" s="4">
        <f t="shared" si="0"/>
        <v>537750</v>
      </c>
      <c r="G21" s="4">
        <v>537750</v>
      </c>
      <c r="H21" s="4">
        <v>404840</v>
      </c>
      <c r="I21" s="4"/>
    </row>
    <row r="22" spans="1:9" ht="15.75" customHeight="1" x14ac:dyDescent="0.25">
      <c r="A22" s="19" t="s">
        <v>46</v>
      </c>
      <c r="B22" s="19" t="s">
        <v>51</v>
      </c>
      <c r="C22" s="19" t="s">
        <v>162</v>
      </c>
      <c r="D22" s="2" t="s">
        <v>378</v>
      </c>
      <c r="E22" s="4" t="s">
        <v>187</v>
      </c>
      <c r="F22" s="4">
        <f t="shared" si="0"/>
        <v>513270</v>
      </c>
      <c r="G22" s="4">
        <v>513270</v>
      </c>
      <c r="H22" s="4">
        <v>386900</v>
      </c>
      <c r="I22" s="4"/>
    </row>
    <row r="23" spans="1:9" ht="15.75" customHeight="1" x14ac:dyDescent="0.25">
      <c r="A23" s="19" t="s">
        <v>47</v>
      </c>
      <c r="B23" s="19" t="s">
        <v>51</v>
      </c>
      <c r="C23" s="19" t="s">
        <v>162</v>
      </c>
      <c r="D23" s="4" t="s">
        <v>379</v>
      </c>
      <c r="E23" s="4" t="s">
        <v>187</v>
      </c>
      <c r="F23" s="4">
        <f t="shared" si="0"/>
        <v>901840</v>
      </c>
      <c r="G23" s="4">
        <v>901840</v>
      </c>
      <c r="H23" s="4">
        <v>677270</v>
      </c>
      <c r="I23" s="4"/>
    </row>
    <row r="24" spans="1:9" ht="15.75" customHeight="1" x14ac:dyDescent="0.25">
      <c r="A24" s="19" t="s">
        <v>48</v>
      </c>
      <c r="B24" s="19" t="s">
        <v>51</v>
      </c>
      <c r="C24" s="19" t="s">
        <v>162</v>
      </c>
      <c r="D24" s="4" t="s">
        <v>380</v>
      </c>
      <c r="E24" s="4" t="s">
        <v>187</v>
      </c>
      <c r="F24" s="4">
        <f t="shared" si="0"/>
        <v>855860</v>
      </c>
      <c r="G24" s="4">
        <f>915960-60100</f>
        <v>855860</v>
      </c>
      <c r="H24" s="4">
        <f>688860-45200</f>
        <v>643660</v>
      </c>
      <c r="I24" s="4"/>
    </row>
    <row r="25" spans="1:9" ht="15.75" customHeight="1" x14ac:dyDescent="0.25">
      <c r="A25" s="19" t="s">
        <v>49</v>
      </c>
      <c r="B25" s="19" t="s">
        <v>51</v>
      </c>
      <c r="C25" s="19" t="s">
        <v>162</v>
      </c>
      <c r="D25" s="4" t="s">
        <v>324</v>
      </c>
      <c r="E25" s="4" t="s">
        <v>187</v>
      </c>
      <c r="F25" s="4">
        <f t="shared" si="0"/>
        <v>1607540</v>
      </c>
      <c r="G25" s="4">
        <v>1607540</v>
      </c>
      <c r="H25" s="4">
        <v>1205020</v>
      </c>
      <c r="I25" s="4"/>
    </row>
    <row r="26" spans="1:9" ht="15.75" customHeight="1" x14ac:dyDescent="0.25">
      <c r="A26" s="19" t="s">
        <v>50</v>
      </c>
      <c r="B26" s="19" t="s">
        <v>51</v>
      </c>
      <c r="C26" s="19" t="s">
        <v>162</v>
      </c>
      <c r="D26" s="3" t="s">
        <v>382</v>
      </c>
      <c r="E26" s="4" t="s">
        <v>187</v>
      </c>
      <c r="F26" s="4">
        <f t="shared" si="0"/>
        <v>1470580</v>
      </c>
      <c r="G26" s="4">
        <v>1470580</v>
      </c>
      <c r="H26" s="4">
        <v>1031020</v>
      </c>
      <c r="I26" s="4"/>
    </row>
    <row r="27" spans="1:9" ht="15.75" customHeight="1" x14ac:dyDescent="0.25">
      <c r="A27" s="19" t="s">
        <v>51</v>
      </c>
      <c r="B27" s="19" t="s">
        <v>51</v>
      </c>
      <c r="C27" s="19" t="s">
        <v>162</v>
      </c>
      <c r="D27" s="3" t="s">
        <v>381</v>
      </c>
      <c r="E27" s="4" t="s">
        <v>187</v>
      </c>
      <c r="F27" s="4">
        <f t="shared" si="0"/>
        <v>3290880</v>
      </c>
      <c r="G27" s="4">
        <f>3230780+60100</f>
        <v>3290880</v>
      </c>
      <c r="H27" s="4">
        <f>2421460+45200</f>
        <v>2466660</v>
      </c>
      <c r="I27" s="4"/>
    </row>
    <row r="28" spans="1:9" ht="15.75" customHeight="1" x14ac:dyDescent="0.25">
      <c r="A28" s="19" t="s">
        <v>52</v>
      </c>
      <c r="B28" s="19" t="s">
        <v>51</v>
      </c>
      <c r="C28" s="19" t="s">
        <v>162</v>
      </c>
      <c r="D28" s="3" t="s">
        <v>28</v>
      </c>
      <c r="E28" s="4" t="s">
        <v>188</v>
      </c>
      <c r="F28" s="4">
        <f t="shared" si="0"/>
        <v>67370</v>
      </c>
      <c r="G28" s="4">
        <v>67370</v>
      </c>
      <c r="H28" s="4">
        <v>51450</v>
      </c>
      <c r="I28" s="4"/>
    </row>
    <row r="29" spans="1:9" ht="15.75" customHeight="1" x14ac:dyDescent="0.25">
      <c r="A29" s="19" t="s">
        <v>53</v>
      </c>
      <c r="B29" s="19">
        <v>13</v>
      </c>
      <c r="C29" s="19" t="s">
        <v>162</v>
      </c>
      <c r="D29" s="3" t="s">
        <v>24</v>
      </c>
      <c r="E29" s="8" t="s">
        <v>321</v>
      </c>
      <c r="F29" s="4">
        <f t="shared" si="0"/>
        <v>84100</v>
      </c>
      <c r="G29" s="4">
        <v>84100</v>
      </c>
      <c r="H29" s="4">
        <v>64200</v>
      </c>
      <c r="I29" s="4"/>
    </row>
    <row r="30" spans="1:9" ht="15.75" customHeight="1" x14ac:dyDescent="0.25">
      <c r="A30" s="19" t="s">
        <v>54</v>
      </c>
      <c r="B30" s="19">
        <v>15</v>
      </c>
      <c r="C30" s="19" t="s">
        <v>162</v>
      </c>
      <c r="D30" s="8" t="s">
        <v>8</v>
      </c>
      <c r="E30" s="12" t="s">
        <v>403</v>
      </c>
      <c r="F30" s="4">
        <f t="shared" si="0"/>
        <v>117700</v>
      </c>
      <c r="G30" s="4">
        <v>117700</v>
      </c>
      <c r="H30" s="4"/>
      <c r="I30" s="4"/>
    </row>
    <row r="31" spans="1:9" ht="19.5" customHeight="1" x14ac:dyDescent="0.25">
      <c r="A31" s="19" t="s">
        <v>55</v>
      </c>
      <c r="B31" s="19">
        <v>15</v>
      </c>
      <c r="C31" s="19" t="s">
        <v>162</v>
      </c>
      <c r="D31" s="8" t="s">
        <v>8</v>
      </c>
      <c r="E31" s="4" t="s">
        <v>187</v>
      </c>
      <c r="F31" s="16">
        <f t="shared" si="0"/>
        <v>110080</v>
      </c>
      <c r="G31" s="4">
        <v>110080</v>
      </c>
      <c r="H31" s="4"/>
      <c r="I31" s="4"/>
    </row>
    <row r="32" spans="1:9" ht="18.75" customHeight="1" x14ac:dyDescent="0.25">
      <c r="A32" s="19" t="s">
        <v>488</v>
      </c>
      <c r="B32" s="205" t="s">
        <v>490</v>
      </c>
      <c r="C32" s="206"/>
      <c r="D32" s="206"/>
      <c r="E32" s="207"/>
      <c r="F32" s="4">
        <f t="shared" si="0"/>
        <v>262</v>
      </c>
      <c r="G32" s="4">
        <v>262</v>
      </c>
      <c r="H32" s="4"/>
      <c r="I32" s="4"/>
    </row>
    <row r="33" spans="1:9" ht="14.25" customHeight="1" x14ac:dyDescent="0.25">
      <c r="A33" s="19" t="s">
        <v>56</v>
      </c>
      <c r="B33" s="250" t="s">
        <v>383</v>
      </c>
      <c r="C33" s="251"/>
      <c r="D33" s="251"/>
      <c r="E33" s="252"/>
      <c r="F33" s="6">
        <f>SUM(G33,I33)</f>
        <v>13777000</v>
      </c>
      <c r="G33" s="6">
        <f>SUM(G13:G31)</f>
        <v>13771000</v>
      </c>
      <c r="H33" s="6">
        <f>SUM(H13:H31)</f>
        <v>10040690</v>
      </c>
      <c r="I33" s="6">
        <f>SUM(I13:I31)</f>
        <v>6000</v>
      </c>
    </row>
    <row r="35" spans="1:9" x14ac:dyDescent="0.25">
      <c r="E35" s="44"/>
    </row>
  </sheetData>
  <mergeCells count="17">
    <mergeCell ref="E1:H1"/>
    <mergeCell ref="E3:H3"/>
    <mergeCell ref="A9:A12"/>
    <mergeCell ref="B9:B12"/>
    <mergeCell ref="C9:C12"/>
    <mergeCell ref="D9:D12"/>
    <mergeCell ref="C7:H7"/>
    <mergeCell ref="D8:H8"/>
    <mergeCell ref="G10:H10"/>
    <mergeCell ref="G11:G12"/>
    <mergeCell ref="H11:H12"/>
    <mergeCell ref="B32:E32"/>
    <mergeCell ref="B33:E33"/>
    <mergeCell ref="I10:I12"/>
    <mergeCell ref="E9:E12"/>
    <mergeCell ref="F9:F12"/>
    <mergeCell ref="G9:H9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N9" sqref="N9"/>
    </sheetView>
  </sheetViews>
  <sheetFormatPr defaultRowHeight="15.75" x14ac:dyDescent="0.25"/>
  <cols>
    <col min="1" max="3" width="9.140625" style="51"/>
    <col min="4" max="4" width="6.42578125" style="51" customWidth="1"/>
    <col min="5" max="5" width="9.140625" style="51"/>
    <col min="6" max="6" width="12.28515625" style="51" customWidth="1"/>
    <col min="7" max="7" width="9.140625" style="51"/>
    <col min="8" max="8" width="13.5703125" style="51" customWidth="1"/>
    <col min="9" max="9" width="12" style="51" customWidth="1"/>
    <col min="10" max="10" width="9.5703125" style="51" bestFit="1" customWidth="1"/>
    <col min="11" max="11" width="12.7109375" style="51" bestFit="1" customWidth="1"/>
    <col min="12" max="12" width="9.140625" style="51"/>
    <col min="13" max="13" width="10.85546875" style="51" bestFit="1" customWidth="1"/>
    <col min="14" max="16384" width="9.140625" style="51"/>
  </cols>
  <sheetData>
    <row r="1" spans="1:9" ht="15.75" customHeight="1" x14ac:dyDescent="0.25">
      <c r="F1" s="195" t="s">
        <v>80</v>
      </c>
      <c r="G1" s="195"/>
      <c r="H1" s="195"/>
      <c r="I1" s="16"/>
    </row>
    <row r="2" spans="1:9" ht="15.75" customHeight="1" x14ac:dyDescent="0.25">
      <c r="F2" s="195" t="s">
        <v>462</v>
      </c>
      <c r="G2" s="195"/>
      <c r="H2" s="195"/>
      <c r="I2" s="195"/>
    </row>
    <row r="3" spans="1:9" ht="15.75" customHeight="1" x14ac:dyDescent="0.25">
      <c r="F3" s="256" t="s">
        <v>333</v>
      </c>
      <c r="G3" s="256"/>
      <c r="H3" s="256"/>
      <c r="I3" s="256"/>
    </row>
    <row r="4" spans="1:9" ht="15.75" customHeight="1" x14ac:dyDescent="0.25">
      <c r="F4" s="182" t="s">
        <v>494</v>
      </c>
      <c r="G4" s="182"/>
      <c r="H4" s="36"/>
    </row>
    <row r="5" spans="1:9" ht="15.75" customHeight="1" x14ac:dyDescent="0.25">
      <c r="F5" s="1" t="s">
        <v>344</v>
      </c>
      <c r="G5" s="1"/>
      <c r="H5" s="1"/>
    </row>
    <row r="6" spans="1:9" ht="16.5" customHeight="1" x14ac:dyDescent="0.25">
      <c r="A6" s="258" t="s">
        <v>424</v>
      </c>
      <c r="B6" s="258"/>
      <c r="C6" s="258"/>
      <c r="D6" s="258"/>
      <c r="E6" s="258"/>
      <c r="F6" s="258"/>
      <c r="G6" s="258"/>
      <c r="H6" s="258"/>
      <c r="I6" s="258"/>
    </row>
    <row r="7" spans="1:9" ht="14.25" customHeight="1" x14ac:dyDescent="0.25">
      <c r="A7" s="242" t="s">
        <v>123</v>
      </c>
      <c r="B7" s="242"/>
      <c r="C7" s="242"/>
      <c r="D7" s="242"/>
      <c r="E7" s="242"/>
      <c r="F7" s="242"/>
      <c r="G7" s="242"/>
      <c r="H7" s="242"/>
      <c r="I7" s="242"/>
    </row>
    <row r="8" spans="1:9" ht="14.25" customHeight="1" x14ac:dyDescent="0.25">
      <c r="A8" s="54"/>
      <c r="B8" s="54"/>
      <c r="C8" s="54"/>
      <c r="D8" s="54"/>
      <c r="E8" s="54"/>
      <c r="F8" s="54"/>
      <c r="G8" s="54"/>
      <c r="H8" s="54"/>
      <c r="I8" s="92" t="s">
        <v>124</v>
      </c>
    </row>
    <row r="9" spans="1:9" ht="30" customHeight="1" x14ac:dyDescent="0.25">
      <c r="A9" s="259" t="s">
        <v>427</v>
      </c>
      <c r="B9" s="260"/>
      <c r="C9" s="260"/>
      <c r="D9" s="260"/>
      <c r="E9" s="260"/>
      <c r="F9" s="260"/>
      <c r="G9" s="260"/>
      <c r="H9" s="261"/>
      <c r="I9" s="144" t="s">
        <v>413</v>
      </c>
    </row>
    <row r="10" spans="1:9" ht="15.75" customHeight="1" x14ac:dyDescent="0.25">
      <c r="A10" s="264" t="s">
        <v>100</v>
      </c>
      <c r="B10" s="264"/>
      <c r="C10" s="264"/>
      <c r="D10" s="264"/>
      <c r="E10" s="264"/>
      <c r="F10" s="264"/>
      <c r="G10" s="264"/>
      <c r="H10" s="265"/>
      <c r="I10" s="147"/>
    </row>
    <row r="11" spans="1:9" ht="17.25" customHeight="1" x14ac:dyDescent="0.25">
      <c r="A11" s="262" t="s">
        <v>326</v>
      </c>
      <c r="B11" s="262"/>
      <c r="C11" s="262"/>
      <c r="D11" s="262"/>
      <c r="E11" s="262"/>
      <c r="F11" s="262"/>
      <c r="G11" s="262"/>
      <c r="H11" s="262"/>
      <c r="I11" s="145">
        <v>50000</v>
      </c>
    </row>
    <row r="12" spans="1:9" ht="17.25" customHeight="1" x14ac:dyDescent="0.25">
      <c r="A12" s="262" t="s">
        <v>327</v>
      </c>
      <c r="B12" s="262"/>
      <c r="C12" s="262"/>
      <c r="D12" s="262"/>
      <c r="E12" s="262"/>
      <c r="F12" s="262"/>
      <c r="G12" s="262"/>
      <c r="H12" s="262"/>
      <c r="I12" s="145">
        <v>50000</v>
      </c>
    </row>
    <row r="13" spans="1:9" ht="17.25" customHeight="1" x14ac:dyDescent="0.25">
      <c r="A13" s="262" t="s">
        <v>328</v>
      </c>
      <c r="B13" s="262"/>
      <c r="C13" s="262"/>
      <c r="D13" s="262"/>
      <c r="E13" s="262"/>
      <c r="F13" s="262"/>
      <c r="G13" s="262"/>
      <c r="H13" s="262"/>
      <c r="I13" s="145">
        <v>10000</v>
      </c>
    </row>
    <row r="14" spans="1:9" ht="14.25" customHeight="1" x14ac:dyDescent="0.25">
      <c r="A14" s="266" t="s">
        <v>334</v>
      </c>
      <c r="B14" s="266"/>
      <c r="C14" s="266"/>
      <c r="D14" s="266"/>
      <c r="E14" s="266"/>
      <c r="F14" s="266"/>
      <c r="G14" s="266"/>
      <c r="H14" s="266"/>
      <c r="I14" s="146">
        <v>345590</v>
      </c>
    </row>
    <row r="15" spans="1:9" ht="15.75" customHeight="1" x14ac:dyDescent="0.25">
      <c r="A15" s="257" t="s">
        <v>101</v>
      </c>
      <c r="B15" s="257"/>
      <c r="C15" s="257"/>
      <c r="D15" s="257"/>
      <c r="E15" s="257"/>
      <c r="F15" s="257"/>
      <c r="G15" s="257"/>
      <c r="H15" s="257"/>
      <c r="I15" s="93"/>
    </row>
    <row r="16" spans="1:9" ht="17.25" customHeight="1" x14ac:dyDescent="0.25">
      <c r="A16" s="270" t="s">
        <v>102</v>
      </c>
      <c r="B16" s="271"/>
      <c r="C16" s="271"/>
      <c r="D16" s="271"/>
      <c r="E16" s="271"/>
      <c r="F16" s="271"/>
      <c r="G16" s="271"/>
      <c r="H16" s="272"/>
      <c r="I16" s="185">
        <v>27852</v>
      </c>
    </row>
    <row r="17" spans="1:9" ht="18" customHeight="1" x14ac:dyDescent="0.25">
      <c r="A17" s="267" t="s">
        <v>414</v>
      </c>
      <c r="B17" s="268"/>
      <c r="C17" s="268"/>
      <c r="D17" s="268"/>
      <c r="E17" s="268"/>
      <c r="F17" s="268"/>
      <c r="G17" s="268"/>
      <c r="H17" s="269"/>
      <c r="I17" s="187">
        <v>17852</v>
      </c>
    </row>
    <row r="18" spans="1:9" ht="18.75" customHeight="1" x14ac:dyDescent="0.25">
      <c r="A18" s="267" t="s">
        <v>415</v>
      </c>
      <c r="B18" s="268"/>
      <c r="C18" s="268"/>
      <c r="D18" s="268"/>
      <c r="E18" s="268"/>
      <c r="F18" s="268"/>
      <c r="G18" s="268"/>
      <c r="H18" s="269"/>
      <c r="I18" s="187">
        <v>10000</v>
      </c>
    </row>
    <row r="19" spans="1:9" ht="17.25" customHeight="1" x14ac:dyDescent="0.25">
      <c r="A19" s="270" t="s">
        <v>103</v>
      </c>
      <c r="B19" s="271"/>
      <c r="C19" s="271"/>
      <c r="D19" s="271"/>
      <c r="E19" s="271"/>
      <c r="F19" s="271"/>
      <c r="G19" s="271"/>
      <c r="H19" s="272"/>
      <c r="I19" s="185">
        <v>16000</v>
      </c>
    </row>
    <row r="20" spans="1:9" ht="32.25" customHeight="1" x14ac:dyDescent="0.25">
      <c r="A20" s="259" t="s">
        <v>416</v>
      </c>
      <c r="B20" s="260"/>
      <c r="C20" s="260"/>
      <c r="D20" s="260"/>
      <c r="E20" s="260"/>
      <c r="F20" s="260"/>
      <c r="G20" s="260"/>
      <c r="H20" s="263"/>
      <c r="I20" s="187">
        <v>6000</v>
      </c>
    </row>
    <row r="21" spans="1:9" ht="30" customHeight="1" x14ac:dyDescent="0.25">
      <c r="A21" s="259" t="s">
        <v>417</v>
      </c>
      <c r="B21" s="260"/>
      <c r="C21" s="260"/>
      <c r="D21" s="260"/>
      <c r="E21" s="260"/>
      <c r="F21" s="260"/>
      <c r="G21" s="260"/>
      <c r="H21" s="263"/>
      <c r="I21" s="187">
        <v>10000</v>
      </c>
    </row>
    <row r="22" spans="1:9" ht="16.5" customHeight="1" x14ac:dyDescent="0.25">
      <c r="A22" s="270" t="s">
        <v>104</v>
      </c>
      <c r="B22" s="271"/>
      <c r="C22" s="271"/>
      <c r="D22" s="271"/>
      <c r="E22" s="271"/>
      <c r="F22" s="271"/>
      <c r="G22" s="271"/>
      <c r="H22" s="272"/>
      <c r="I22" s="185">
        <v>48500</v>
      </c>
    </row>
    <row r="23" spans="1:9" ht="18" customHeight="1" x14ac:dyDescent="0.25">
      <c r="A23" s="208" t="s">
        <v>365</v>
      </c>
      <c r="B23" s="209"/>
      <c r="C23" s="209"/>
      <c r="D23" s="209"/>
      <c r="E23" s="209"/>
      <c r="F23" s="209"/>
      <c r="G23" s="209"/>
      <c r="H23" s="210"/>
      <c r="I23" s="188">
        <v>4000</v>
      </c>
    </row>
    <row r="24" spans="1:9" ht="16.5" customHeight="1" x14ac:dyDescent="0.25">
      <c r="A24" s="208" t="s">
        <v>418</v>
      </c>
      <c r="B24" s="209"/>
      <c r="C24" s="209"/>
      <c r="D24" s="209"/>
      <c r="E24" s="209"/>
      <c r="F24" s="209"/>
      <c r="G24" s="209"/>
      <c r="H24" s="210"/>
      <c r="I24" s="192">
        <v>3000</v>
      </c>
    </row>
    <row r="25" spans="1:9" ht="18" customHeight="1" x14ac:dyDescent="0.25">
      <c r="A25" s="208" t="s">
        <v>470</v>
      </c>
      <c r="B25" s="209"/>
      <c r="C25" s="209"/>
      <c r="D25" s="209"/>
      <c r="E25" s="209"/>
      <c r="F25" s="209"/>
      <c r="G25" s="209"/>
      <c r="H25" s="210"/>
      <c r="I25" s="192">
        <v>5000</v>
      </c>
    </row>
    <row r="26" spans="1:9" ht="30.75" customHeight="1" x14ac:dyDescent="0.25">
      <c r="A26" s="208" t="s">
        <v>471</v>
      </c>
      <c r="B26" s="209"/>
      <c r="C26" s="209"/>
      <c r="D26" s="209"/>
      <c r="E26" s="209"/>
      <c r="F26" s="209"/>
      <c r="G26" s="209"/>
      <c r="H26" s="210"/>
      <c r="I26" s="192">
        <v>3000</v>
      </c>
    </row>
    <row r="27" spans="1:9" ht="17.25" customHeight="1" x14ac:dyDescent="0.25">
      <c r="A27" s="206" t="s">
        <v>459</v>
      </c>
      <c r="B27" s="206"/>
      <c r="C27" s="206"/>
      <c r="D27" s="206"/>
      <c r="E27" s="206"/>
      <c r="F27" s="206"/>
      <c r="G27" s="206"/>
      <c r="H27" s="207"/>
      <c r="I27" s="191">
        <v>1000</v>
      </c>
    </row>
    <row r="28" spans="1:9" ht="30" customHeight="1" x14ac:dyDescent="0.25">
      <c r="A28" s="273" t="s">
        <v>460</v>
      </c>
      <c r="B28" s="274"/>
      <c r="C28" s="274"/>
      <c r="D28" s="274"/>
      <c r="E28" s="274"/>
      <c r="F28" s="274"/>
      <c r="G28" s="274"/>
      <c r="H28" s="275"/>
      <c r="I28" s="191">
        <v>1500</v>
      </c>
    </row>
    <row r="29" spans="1:9" ht="16.5" customHeight="1" x14ac:dyDescent="0.25">
      <c r="A29" s="273" t="s">
        <v>472</v>
      </c>
      <c r="B29" s="274"/>
      <c r="C29" s="274"/>
      <c r="D29" s="274"/>
      <c r="E29" s="274"/>
      <c r="F29" s="274"/>
      <c r="G29" s="274"/>
      <c r="H29" s="275"/>
      <c r="I29" s="193">
        <v>14000</v>
      </c>
    </row>
    <row r="30" spans="1:9" ht="30" customHeight="1" x14ac:dyDescent="0.25">
      <c r="A30" s="273" t="s">
        <v>473</v>
      </c>
      <c r="B30" s="274"/>
      <c r="C30" s="274"/>
      <c r="D30" s="274"/>
      <c r="E30" s="274"/>
      <c r="F30" s="274"/>
      <c r="G30" s="274"/>
      <c r="H30" s="275"/>
      <c r="I30" s="191">
        <v>17000</v>
      </c>
    </row>
    <row r="31" spans="1:9" x14ac:dyDescent="0.25">
      <c r="A31" s="279" t="s">
        <v>475</v>
      </c>
      <c r="B31" s="280"/>
      <c r="C31" s="280"/>
      <c r="D31" s="280"/>
      <c r="E31" s="280"/>
      <c r="F31" s="280"/>
      <c r="G31" s="280"/>
      <c r="H31" s="281"/>
      <c r="I31" s="186">
        <v>24654</v>
      </c>
    </row>
    <row r="32" spans="1:9" ht="16.5" customHeight="1" x14ac:dyDescent="0.25">
      <c r="A32" s="259" t="s">
        <v>314</v>
      </c>
      <c r="B32" s="260"/>
      <c r="C32" s="260"/>
      <c r="D32" s="260"/>
      <c r="E32" s="260"/>
      <c r="F32" s="260"/>
      <c r="G32" s="260"/>
      <c r="H32" s="263"/>
      <c r="I32" s="187">
        <v>24654</v>
      </c>
    </row>
    <row r="33" spans="1:13" ht="16.5" customHeight="1" x14ac:dyDescent="0.25">
      <c r="A33" s="270" t="s">
        <v>105</v>
      </c>
      <c r="B33" s="271"/>
      <c r="C33" s="271"/>
      <c r="D33" s="271"/>
      <c r="E33" s="271"/>
      <c r="F33" s="271"/>
      <c r="G33" s="271"/>
      <c r="H33" s="272"/>
      <c r="I33" s="185">
        <v>218384</v>
      </c>
    </row>
    <row r="34" spans="1:13" ht="17.25" customHeight="1" x14ac:dyDescent="0.25">
      <c r="A34" s="267" t="s">
        <v>419</v>
      </c>
      <c r="B34" s="268"/>
      <c r="C34" s="268"/>
      <c r="D34" s="268"/>
      <c r="E34" s="268"/>
      <c r="F34" s="268"/>
      <c r="G34" s="268"/>
      <c r="H34" s="269"/>
      <c r="I34" s="189">
        <v>30000</v>
      </c>
    </row>
    <row r="35" spans="1:13" ht="31.5" customHeight="1" x14ac:dyDescent="0.25">
      <c r="A35" s="282" t="s">
        <v>476</v>
      </c>
      <c r="B35" s="283"/>
      <c r="C35" s="283"/>
      <c r="D35" s="283"/>
      <c r="E35" s="283"/>
      <c r="F35" s="283"/>
      <c r="G35" s="283"/>
      <c r="H35" s="283"/>
      <c r="I35" s="191">
        <v>60000</v>
      </c>
    </row>
    <row r="36" spans="1:13" ht="30.75" customHeight="1" x14ac:dyDescent="0.25">
      <c r="A36" s="284" t="s">
        <v>420</v>
      </c>
      <c r="B36" s="268"/>
      <c r="C36" s="268"/>
      <c r="D36" s="268"/>
      <c r="E36" s="268"/>
      <c r="F36" s="268"/>
      <c r="G36" s="268"/>
      <c r="H36" s="269"/>
      <c r="I36" s="190">
        <v>128384</v>
      </c>
      <c r="K36" s="95"/>
      <c r="M36" s="94"/>
    </row>
    <row r="37" spans="1:13" x14ac:dyDescent="0.25">
      <c r="A37" s="270" t="s">
        <v>106</v>
      </c>
      <c r="B37" s="271"/>
      <c r="C37" s="271"/>
      <c r="D37" s="271"/>
      <c r="E37" s="271"/>
      <c r="F37" s="271"/>
      <c r="G37" s="271"/>
      <c r="H37" s="272"/>
      <c r="I37" s="185">
        <v>10200</v>
      </c>
    </row>
    <row r="38" spans="1:13" x14ac:dyDescent="0.25">
      <c r="A38" s="284" t="s">
        <v>421</v>
      </c>
      <c r="B38" s="285"/>
      <c r="C38" s="285"/>
      <c r="D38" s="285"/>
      <c r="E38" s="285"/>
      <c r="F38" s="285"/>
      <c r="G38" s="285"/>
      <c r="H38" s="286"/>
      <c r="I38" s="187">
        <v>1200</v>
      </c>
    </row>
    <row r="39" spans="1:13" x14ac:dyDescent="0.25">
      <c r="A39" s="267" t="s">
        <v>422</v>
      </c>
      <c r="B39" s="268"/>
      <c r="C39" s="268"/>
      <c r="D39" s="268"/>
      <c r="E39" s="268"/>
      <c r="F39" s="268"/>
      <c r="G39" s="268"/>
      <c r="H39" s="269"/>
      <c r="I39" s="187">
        <v>3000</v>
      </c>
    </row>
    <row r="40" spans="1:13" x14ac:dyDescent="0.25">
      <c r="A40" s="267" t="s">
        <v>423</v>
      </c>
      <c r="B40" s="268"/>
      <c r="C40" s="268"/>
      <c r="D40" s="268"/>
      <c r="E40" s="268"/>
      <c r="F40" s="268"/>
      <c r="G40" s="268"/>
      <c r="H40" s="269"/>
      <c r="I40" s="187">
        <v>6000</v>
      </c>
    </row>
    <row r="41" spans="1:13" x14ac:dyDescent="0.25">
      <c r="A41" s="276" t="s">
        <v>474</v>
      </c>
      <c r="B41" s="277"/>
      <c r="C41" s="277"/>
      <c r="D41" s="277"/>
      <c r="E41" s="277"/>
      <c r="F41" s="277"/>
      <c r="G41" s="277"/>
      <c r="H41" s="278"/>
      <c r="I41" s="185">
        <v>345590</v>
      </c>
    </row>
  </sheetData>
  <mergeCells count="38">
    <mergeCell ref="A41:H41"/>
    <mergeCell ref="A19:H19"/>
    <mergeCell ref="A16:H16"/>
    <mergeCell ref="A17:H17"/>
    <mergeCell ref="A40:H40"/>
    <mergeCell ref="A31:H31"/>
    <mergeCell ref="A24:H24"/>
    <mergeCell ref="A35:H35"/>
    <mergeCell ref="A34:H34"/>
    <mergeCell ref="A39:H39"/>
    <mergeCell ref="A38:H38"/>
    <mergeCell ref="A23:H23"/>
    <mergeCell ref="A30:H30"/>
    <mergeCell ref="A32:H32"/>
    <mergeCell ref="A33:H33"/>
    <mergeCell ref="A36:H36"/>
    <mergeCell ref="A37:H37"/>
    <mergeCell ref="A25:H25"/>
    <mergeCell ref="A28:H28"/>
    <mergeCell ref="A22:H22"/>
    <mergeCell ref="A27:H27"/>
    <mergeCell ref="A29:H29"/>
    <mergeCell ref="A20:H20"/>
    <mergeCell ref="A26:H26"/>
    <mergeCell ref="A11:H11"/>
    <mergeCell ref="A10:H10"/>
    <mergeCell ref="A14:H14"/>
    <mergeCell ref="A18:H18"/>
    <mergeCell ref="A21:H21"/>
    <mergeCell ref="F1:H1"/>
    <mergeCell ref="F3:I3"/>
    <mergeCell ref="F2:I2"/>
    <mergeCell ref="A15:H15"/>
    <mergeCell ref="A6:I6"/>
    <mergeCell ref="A7:I7"/>
    <mergeCell ref="A9:H9"/>
    <mergeCell ref="A12:H12"/>
    <mergeCell ref="A13:H13"/>
  </mergeCells>
  <phoneticPr fontId="0" type="noConversion"/>
  <pageMargins left="1.1417322834645669" right="0.15748031496062992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2" sqref="H22"/>
    </sheetView>
  </sheetViews>
  <sheetFormatPr defaultRowHeight="16.5" x14ac:dyDescent="0.25"/>
  <cols>
    <col min="1" max="1" width="6.85546875" style="1" customWidth="1"/>
    <col min="2" max="2" width="6.42578125" style="1" customWidth="1"/>
    <col min="3" max="3" width="52.5703125" style="1" customWidth="1"/>
    <col min="4" max="4" width="15.42578125" style="1" customWidth="1"/>
    <col min="5" max="5" width="13.42578125" style="1" customWidth="1"/>
    <col min="6" max="6" width="18.28515625" style="1" customWidth="1"/>
    <col min="7" max="7" width="12.5703125" style="1" customWidth="1"/>
    <col min="8" max="16384" width="9.140625" style="1"/>
  </cols>
  <sheetData>
    <row r="1" spans="1:9" x14ac:dyDescent="0.25">
      <c r="E1" s="195" t="s">
        <v>80</v>
      </c>
      <c r="F1" s="195"/>
      <c r="G1" s="195"/>
      <c r="H1" s="16"/>
    </row>
    <row r="2" spans="1:9" x14ac:dyDescent="0.25">
      <c r="E2" s="195" t="s">
        <v>462</v>
      </c>
      <c r="F2" s="195"/>
      <c r="G2" s="195"/>
      <c r="H2" s="195"/>
    </row>
    <row r="3" spans="1:9" x14ac:dyDescent="0.25">
      <c r="E3" s="16" t="s">
        <v>389</v>
      </c>
      <c r="F3" s="16"/>
      <c r="G3" s="16"/>
    </row>
    <row r="4" spans="1:9" x14ac:dyDescent="0.25">
      <c r="E4" s="182"/>
      <c r="F4" s="182"/>
      <c r="G4" s="36"/>
      <c r="H4" s="51"/>
      <c r="I4" s="51"/>
    </row>
    <row r="5" spans="1:9" ht="15" customHeight="1" x14ac:dyDescent="0.25">
      <c r="A5" s="16"/>
      <c r="B5" s="16"/>
      <c r="C5" s="16"/>
      <c r="D5" s="16"/>
      <c r="H5" s="51"/>
      <c r="I5" s="51"/>
    </row>
    <row r="6" spans="1:9" ht="33.75" customHeight="1" x14ac:dyDescent="0.25">
      <c r="A6" s="16"/>
      <c r="B6" s="16"/>
      <c r="C6" s="288" t="s">
        <v>411</v>
      </c>
      <c r="D6" s="288"/>
      <c r="E6" s="288"/>
      <c r="F6" s="288"/>
      <c r="G6" s="13"/>
      <c r="H6" s="16"/>
    </row>
    <row r="7" spans="1:9" ht="15" customHeight="1" x14ac:dyDescent="0.25">
      <c r="A7" s="255" t="s">
        <v>124</v>
      </c>
      <c r="B7" s="255"/>
      <c r="C7" s="255"/>
      <c r="D7" s="255"/>
      <c r="E7" s="255"/>
      <c r="F7" s="255"/>
      <c r="G7" s="16"/>
      <c r="H7" s="16"/>
    </row>
    <row r="8" spans="1:9" ht="33.75" customHeight="1" x14ac:dyDescent="0.25">
      <c r="A8" s="287" t="s">
        <v>60</v>
      </c>
      <c r="B8" s="253" t="s">
        <v>153</v>
      </c>
      <c r="C8" s="253" t="s">
        <v>232</v>
      </c>
      <c r="D8" s="230" t="s">
        <v>428</v>
      </c>
      <c r="E8" s="287" t="s">
        <v>35</v>
      </c>
      <c r="F8" s="287" t="s">
        <v>79</v>
      </c>
      <c r="G8" s="287" t="s">
        <v>429</v>
      </c>
      <c r="H8" s="16"/>
    </row>
    <row r="9" spans="1:9" ht="23.25" customHeight="1" x14ac:dyDescent="0.25">
      <c r="A9" s="287"/>
      <c r="B9" s="253"/>
      <c r="C9" s="253"/>
      <c r="D9" s="231"/>
      <c r="E9" s="287"/>
      <c r="F9" s="287"/>
      <c r="G9" s="287"/>
      <c r="H9" s="16"/>
    </row>
    <row r="10" spans="1:9" ht="17.25" customHeight="1" x14ac:dyDescent="0.25">
      <c r="A10" s="287"/>
      <c r="B10" s="253"/>
      <c r="C10" s="253"/>
      <c r="D10" s="232"/>
      <c r="E10" s="287"/>
      <c r="F10" s="287"/>
      <c r="G10" s="287"/>
      <c r="H10" s="16"/>
    </row>
    <row r="11" spans="1:9" ht="16.5" customHeight="1" x14ac:dyDescent="0.25">
      <c r="A11" s="25" t="s">
        <v>37</v>
      </c>
      <c r="B11" s="26" t="s">
        <v>51</v>
      </c>
      <c r="C11" s="3" t="s">
        <v>371</v>
      </c>
      <c r="D11" s="149"/>
      <c r="E11" s="27"/>
      <c r="F11" s="28">
        <v>13000</v>
      </c>
      <c r="G11" s="4">
        <f>SUM(D11:F11)</f>
        <v>13000</v>
      </c>
      <c r="H11" s="16"/>
    </row>
    <row r="12" spans="1:9" ht="16.5" customHeight="1" x14ac:dyDescent="0.25">
      <c r="A12" s="26" t="s">
        <v>38</v>
      </c>
      <c r="B12" s="26" t="s">
        <v>51</v>
      </c>
      <c r="C12" s="3" t="s">
        <v>372</v>
      </c>
      <c r="D12" s="149"/>
      <c r="E12" s="27"/>
      <c r="F12" s="28">
        <v>25000</v>
      </c>
      <c r="G12" s="4">
        <f t="shared" ref="G12:G27" si="0">SUM(D12:F12)</f>
        <v>25000</v>
      </c>
      <c r="H12" s="16"/>
    </row>
    <row r="13" spans="1:9" ht="16.5" customHeight="1" x14ac:dyDescent="0.25">
      <c r="A13" s="26" t="s">
        <v>39</v>
      </c>
      <c r="B13" s="26" t="s">
        <v>51</v>
      </c>
      <c r="C13" s="11" t="s">
        <v>369</v>
      </c>
      <c r="D13" s="155">
        <v>1979</v>
      </c>
      <c r="E13" s="27"/>
      <c r="F13" s="28">
        <v>73000</v>
      </c>
      <c r="G13" s="4">
        <f t="shared" si="0"/>
        <v>74979</v>
      </c>
      <c r="H13" s="16"/>
    </row>
    <row r="14" spans="1:9" ht="16.5" customHeight="1" x14ac:dyDescent="0.25">
      <c r="A14" s="26" t="s">
        <v>40</v>
      </c>
      <c r="B14" s="26" t="s">
        <v>51</v>
      </c>
      <c r="C14" s="3" t="s">
        <v>370</v>
      </c>
      <c r="D14" s="151"/>
      <c r="E14" s="27"/>
      <c r="F14" s="28">
        <v>75000</v>
      </c>
      <c r="G14" s="4">
        <f t="shared" si="0"/>
        <v>75000</v>
      </c>
      <c r="H14" s="16"/>
    </row>
    <row r="15" spans="1:9" ht="16.5" customHeight="1" x14ac:dyDescent="0.25">
      <c r="A15" s="26" t="s">
        <v>41</v>
      </c>
      <c r="B15" s="26" t="s">
        <v>51</v>
      </c>
      <c r="C15" s="3" t="s">
        <v>381</v>
      </c>
      <c r="D15" s="151"/>
      <c r="E15" s="27">
        <v>23000</v>
      </c>
      <c r="F15" s="28"/>
      <c r="G15" s="4">
        <f t="shared" si="0"/>
        <v>23000</v>
      </c>
      <c r="H15" s="16"/>
    </row>
    <row r="16" spans="1:9" ht="16.5" customHeight="1" x14ac:dyDescent="0.25">
      <c r="A16" s="26" t="s">
        <v>42</v>
      </c>
      <c r="B16" s="26" t="s">
        <v>51</v>
      </c>
      <c r="C16" s="10" t="s">
        <v>324</v>
      </c>
      <c r="D16" s="156"/>
      <c r="E16" s="27"/>
      <c r="F16" s="28">
        <v>1600</v>
      </c>
      <c r="G16" s="4">
        <f t="shared" si="0"/>
        <v>1600</v>
      </c>
      <c r="H16" s="16"/>
    </row>
    <row r="17" spans="1:8" ht="16.5" customHeight="1" x14ac:dyDescent="0.25">
      <c r="A17" s="26" t="s">
        <v>43</v>
      </c>
      <c r="B17" s="26" t="s">
        <v>51</v>
      </c>
      <c r="C17" s="3" t="s">
        <v>382</v>
      </c>
      <c r="D17" s="151"/>
      <c r="E17" s="27"/>
      <c r="F17" s="141">
        <v>2200</v>
      </c>
      <c r="G17" s="4">
        <f t="shared" si="0"/>
        <v>2200</v>
      </c>
      <c r="H17" s="16"/>
    </row>
    <row r="18" spans="1:8" ht="16.5" customHeight="1" x14ac:dyDescent="0.25">
      <c r="A18" s="26" t="s">
        <v>44</v>
      </c>
      <c r="B18" s="26" t="s">
        <v>51</v>
      </c>
      <c r="C18" s="4" t="s">
        <v>379</v>
      </c>
      <c r="D18" s="19"/>
      <c r="E18" s="27"/>
      <c r="F18" s="28">
        <v>400</v>
      </c>
      <c r="G18" s="4">
        <f t="shared" si="0"/>
        <v>400</v>
      </c>
      <c r="H18" s="16"/>
    </row>
    <row r="19" spans="1:8" ht="16.5" customHeight="1" x14ac:dyDescent="0.25">
      <c r="A19" s="26" t="s">
        <v>45</v>
      </c>
      <c r="B19" s="26" t="s">
        <v>51</v>
      </c>
      <c r="C19" s="4" t="s">
        <v>380</v>
      </c>
      <c r="D19" s="19"/>
      <c r="E19" s="27"/>
      <c r="F19" s="28">
        <v>600</v>
      </c>
      <c r="G19" s="4">
        <f t="shared" si="0"/>
        <v>600</v>
      </c>
      <c r="H19" s="16"/>
    </row>
    <row r="20" spans="1:8" ht="16.5" customHeight="1" x14ac:dyDescent="0.25">
      <c r="A20" s="26" t="s">
        <v>46</v>
      </c>
      <c r="B20" s="26" t="s">
        <v>51</v>
      </c>
      <c r="C20" s="2" t="s">
        <v>377</v>
      </c>
      <c r="D20" s="150"/>
      <c r="E20" s="27"/>
      <c r="F20" s="28">
        <v>200</v>
      </c>
      <c r="G20" s="4">
        <f t="shared" si="0"/>
        <v>200</v>
      </c>
      <c r="H20" s="16"/>
    </row>
    <row r="21" spans="1:8" ht="16.5" customHeight="1" x14ac:dyDescent="0.25">
      <c r="A21" s="26" t="s">
        <v>47</v>
      </c>
      <c r="B21" s="26" t="s">
        <v>51</v>
      </c>
      <c r="C21" s="2" t="s">
        <v>376</v>
      </c>
      <c r="D21" s="150"/>
      <c r="E21" s="27"/>
      <c r="F21" s="28">
        <v>9000</v>
      </c>
      <c r="G21" s="4">
        <f t="shared" si="0"/>
        <v>9000</v>
      </c>
      <c r="H21" s="16"/>
    </row>
    <row r="22" spans="1:8" ht="16.5" customHeight="1" x14ac:dyDescent="0.25">
      <c r="A22" s="26" t="s">
        <v>48</v>
      </c>
      <c r="B22" s="26" t="s">
        <v>51</v>
      </c>
      <c r="C22" s="10" t="s">
        <v>28</v>
      </c>
      <c r="D22" s="156">
        <v>8542</v>
      </c>
      <c r="E22" s="27"/>
      <c r="F22" s="28">
        <v>105000</v>
      </c>
      <c r="G22" s="4">
        <f t="shared" si="0"/>
        <v>113542</v>
      </c>
      <c r="H22" s="16"/>
    </row>
    <row r="23" spans="1:8" ht="16.5" customHeight="1" x14ac:dyDescent="0.25">
      <c r="A23" s="26" t="s">
        <v>49</v>
      </c>
      <c r="B23" s="26" t="s">
        <v>49</v>
      </c>
      <c r="C23" s="10" t="s">
        <v>24</v>
      </c>
      <c r="D23" s="156"/>
      <c r="E23" s="27">
        <v>50000</v>
      </c>
      <c r="F23" s="28"/>
      <c r="G23" s="4">
        <f t="shared" si="0"/>
        <v>50000</v>
      </c>
      <c r="H23" s="16"/>
    </row>
    <row r="24" spans="1:8" ht="16.5" customHeight="1" x14ac:dyDescent="0.25">
      <c r="A24" s="26" t="s">
        <v>50</v>
      </c>
      <c r="B24" s="26" t="s">
        <v>52</v>
      </c>
      <c r="C24" s="10" t="s">
        <v>117</v>
      </c>
      <c r="D24" s="156"/>
      <c r="E24" s="27"/>
      <c r="F24" s="28">
        <v>88000</v>
      </c>
      <c r="G24" s="4">
        <f t="shared" si="0"/>
        <v>88000</v>
      </c>
      <c r="H24" s="16"/>
    </row>
    <row r="25" spans="1:8" ht="16.5" customHeight="1" x14ac:dyDescent="0.25">
      <c r="A25" s="26" t="s">
        <v>51</v>
      </c>
      <c r="B25" s="29" t="s">
        <v>48</v>
      </c>
      <c r="C25" s="67" t="s">
        <v>122</v>
      </c>
      <c r="D25" s="157"/>
      <c r="E25" s="30">
        <v>2000</v>
      </c>
      <c r="F25" s="31"/>
      <c r="G25" s="4">
        <f t="shared" si="0"/>
        <v>2000</v>
      </c>
      <c r="H25" s="16"/>
    </row>
    <row r="26" spans="1:8" ht="16.5" customHeight="1" x14ac:dyDescent="0.25">
      <c r="A26" s="26" t="s">
        <v>52</v>
      </c>
      <c r="B26" s="29" t="s">
        <v>49</v>
      </c>
      <c r="C26" s="7" t="s">
        <v>18</v>
      </c>
      <c r="D26" s="157"/>
      <c r="E26" s="30">
        <v>4000</v>
      </c>
      <c r="F26" s="31"/>
      <c r="G26" s="4">
        <f t="shared" si="0"/>
        <v>4000</v>
      </c>
      <c r="H26" s="16"/>
    </row>
    <row r="27" spans="1:8" ht="22.5" customHeight="1" x14ac:dyDescent="0.25">
      <c r="A27" s="26" t="s">
        <v>53</v>
      </c>
      <c r="B27" s="26"/>
      <c r="C27" s="18" t="s">
        <v>4</v>
      </c>
      <c r="D27" s="131">
        <f>SUM(D11:D26)</f>
        <v>10521</v>
      </c>
      <c r="E27" s="131">
        <f>SUM(E11:E26)</f>
        <v>79000</v>
      </c>
      <c r="F27" s="131">
        <f>SUM(F11:F26)</f>
        <v>393000</v>
      </c>
      <c r="G27" s="6">
        <f t="shared" si="0"/>
        <v>482521</v>
      </c>
      <c r="H27" s="16"/>
    </row>
  </sheetData>
  <mergeCells count="11">
    <mergeCell ref="E1:G1"/>
    <mergeCell ref="E8:E10"/>
    <mergeCell ref="C6:F6"/>
    <mergeCell ref="F8:F10"/>
    <mergeCell ref="G8:G10"/>
    <mergeCell ref="D8:D10"/>
    <mergeCell ref="A8:A10"/>
    <mergeCell ref="A7:F7"/>
    <mergeCell ref="B8:B10"/>
    <mergeCell ref="C8:C10"/>
    <mergeCell ref="E2:H2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0"/>
  <sheetViews>
    <sheetView workbookViewId="0">
      <selection activeCell="M61" sqref="M61"/>
    </sheetView>
  </sheetViews>
  <sheetFormatPr defaultRowHeight="16.5" x14ac:dyDescent="0.25"/>
  <cols>
    <col min="1" max="1" width="5.7109375" style="53" customWidth="1"/>
    <col min="2" max="2" width="26.5703125" style="53" customWidth="1"/>
    <col min="3" max="3" width="34.28515625" style="53" customWidth="1"/>
    <col min="4" max="4" width="11" style="53" customWidth="1"/>
    <col min="5" max="5" width="10.28515625" style="53" customWidth="1"/>
    <col min="6" max="6" width="10" style="53" customWidth="1"/>
    <col min="7" max="8" width="10.140625" style="53" customWidth="1"/>
    <col min="9" max="9" width="10.42578125" style="53" customWidth="1"/>
    <col min="10" max="10" width="12.28515625" style="53" customWidth="1"/>
    <col min="11" max="16384" width="9.140625" style="53"/>
  </cols>
  <sheetData>
    <row r="1" spans="1:9" ht="15" customHeight="1" x14ac:dyDescent="0.25">
      <c r="A1" s="51"/>
      <c r="B1" s="51"/>
      <c r="C1" s="51"/>
      <c r="D1" s="195" t="s">
        <v>80</v>
      </c>
      <c r="E1" s="195"/>
      <c r="F1" s="195"/>
      <c r="G1" s="16"/>
      <c r="H1" s="51"/>
      <c r="I1" s="51"/>
    </row>
    <row r="2" spans="1:9" ht="15" customHeight="1" x14ac:dyDescent="0.25">
      <c r="A2" s="51"/>
      <c r="B2" s="51"/>
      <c r="C2" s="51"/>
      <c r="D2" s="195" t="s">
        <v>462</v>
      </c>
      <c r="E2" s="195"/>
      <c r="F2" s="195"/>
      <c r="G2" s="195"/>
      <c r="H2" s="52"/>
      <c r="I2" s="51"/>
    </row>
    <row r="3" spans="1:9" ht="14.25" customHeight="1" x14ac:dyDescent="0.25">
      <c r="A3" s="51"/>
      <c r="B3" s="51"/>
      <c r="C3" s="51"/>
      <c r="D3" s="35" t="s">
        <v>337</v>
      </c>
      <c r="E3" s="35"/>
      <c r="F3" s="35"/>
      <c r="G3" s="16"/>
      <c r="H3" s="52"/>
      <c r="I3" s="51"/>
    </row>
    <row r="4" spans="1:9" ht="12.75" customHeight="1" x14ac:dyDescent="0.25">
      <c r="A4" s="51"/>
      <c r="B4" s="51"/>
      <c r="C4" s="51"/>
      <c r="D4" s="182" t="s">
        <v>493</v>
      </c>
      <c r="E4" s="182"/>
      <c r="F4" s="36"/>
      <c r="G4" s="51"/>
      <c r="H4" s="51"/>
      <c r="I4" s="51"/>
    </row>
    <row r="5" spans="1:9" ht="13.5" customHeight="1" x14ac:dyDescent="0.25">
      <c r="A5" s="51"/>
      <c r="B5" s="51"/>
      <c r="C5" s="51"/>
      <c r="D5" s="1" t="s">
        <v>344</v>
      </c>
      <c r="E5" s="1"/>
      <c r="F5" s="1"/>
      <c r="G5" s="51"/>
      <c r="H5" s="51"/>
      <c r="I5" s="51"/>
    </row>
    <row r="6" spans="1:9" ht="17.25" customHeight="1" x14ac:dyDescent="0.25">
      <c r="A6" s="51"/>
      <c r="B6" s="245" t="s">
        <v>407</v>
      </c>
      <c r="C6" s="245"/>
      <c r="D6" s="245"/>
      <c r="E6" s="245"/>
      <c r="F6" s="245"/>
      <c r="G6" s="245"/>
      <c r="H6" s="245"/>
      <c r="I6" s="245"/>
    </row>
    <row r="7" spans="1:9" ht="15.75" customHeight="1" x14ac:dyDescent="0.25">
      <c r="A7" s="51"/>
      <c r="B7" s="245" t="s">
        <v>208</v>
      </c>
      <c r="C7" s="245"/>
      <c r="D7" s="245"/>
      <c r="E7" s="245"/>
      <c r="F7" s="245"/>
      <c r="G7" s="245"/>
      <c r="H7" s="245"/>
      <c r="I7" s="245"/>
    </row>
    <row r="8" spans="1:9" ht="13.5" customHeight="1" x14ac:dyDescent="0.25">
      <c r="A8" s="51"/>
      <c r="B8" s="243" t="s">
        <v>124</v>
      </c>
      <c r="C8" s="243"/>
      <c r="D8" s="243"/>
      <c r="E8" s="243"/>
      <c r="F8" s="243"/>
      <c r="G8" s="243"/>
      <c r="H8" s="243"/>
      <c r="I8" s="243"/>
    </row>
    <row r="9" spans="1:9" ht="16.5" customHeight="1" x14ac:dyDescent="0.25">
      <c r="A9" s="295" t="s">
        <v>60</v>
      </c>
      <c r="B9" s="240" t="s">
        <v>233</v>
      </c>
      <c r="C9" s="240" t="s">
        <v>197</v>
      </c>
      <c r="D9" s="237" t="s">
        <v>13</v>
      </c>
      <c r="E9" s="298" t="s">
        <v>198</v>
      </c>
      <c r="F9" s="298"/>
      <c r="G9" s="298"/>
      <c r="H9" s="298"/>
      <c r="I9" s="298"/>
    </row>
    <row r="10" spans="1:9" x14ac:dyDescent="0.25">
      <c r="A10" s="296"/>
      <c r="B10" s="240"/>
      <c r="C10" s="240"/>
      <c r="D10" s="238"/>
      <c r="E10" s="240" t="s">
        <v>203</v>
      </c>
      <c r="F10" s="298" t="s">
        <v>11</v>
      </c>
      <c r="G10" s="298"/>
      <c r="H10" s="240" t="s">
        <v>390</v>
      </c>
      <c r="I10" s="240" t="s">
        <v>336</v>
      </c>
    </row>
    <row r="11" spans="1:9" ht="16.5" customHeight="1" x14ac:dyDescent="0.25">
      <c r="A11" s="296"/>
      <c r="B11" s="240"/>
      <c r="C11" s="240"/>
      <c r="D11" s="238"/>
      <c r="E11" s="240"/>
      <c r="F11" s="240" t="s">
        <v>335</v>
      </c>
      <c r="G11" s="240" t="s">
        <v>199</v>
      </c>
      <c r="H11" s="240"/>
      <c r="I11" s="240"/>
    </row>
    <row r="12" spans="1:9" x14ac:dyDescent="0.25">
      <c r="A12" s="296"/>
      <c r="B12" s="240"/>
      <c r="C12" s="240"/>
      <c r="D12" s="238"/>
      <c r="E12" s="240"/>
      <c r="F12" s="240"/>
      <c r="G12" s="240"/>
      <c r="H12" s="240"/>
      <c r="I12" s="240"/>
    </row>
    <row r="13" spans="1:9" ht="15.75" customHeight="1" x14ac:dyDescent="0.25">
      <c r="A13" s="296"/>
      <c r="B13" s="237"/>
      <c r="C13" s="237"/>
      <c r="D13" s="238"/>
      <c r="E13" s="237"/>
      <c r="F13" s="237"/>
      <c r="G13" s="237"/>
      <c r="H13" s="237"/>
      <c r="I13" s="237"/>
    </row>
    <row r="14" spans="1:9" ht="17.25" customHeight="1" x14ac:dyDescent="0.25">
      <c r="A14" s="291" t="s">
        <v>248</v>
      </c>
      <c r="B14" s="291"/>
      <c r="C14" s="291"/>
      <c r="D14" s="291"/>
      <c r="E14" s="291"/>
      <c r="F14" s="291"/>
      <c r="G14" s="291"/>
      <c r="H14" s="291"/>
      <c r="I14" s="291"/>
    </row>
    <row r="15" spans="1:9" ht="16.5" customHeight="1" x14ac:dyDescent="0.25">
      <c r="A15" s="83" t="s">
        <v>37</v>
      </c>
      <c r="B15" s="96" t="s">
        <v>8</v>
      </c>
      <c r="C15" s="9" t="s">
        <v>195</v>
      </c>
      <c r="D15" s="9">
        <f t="shared" ref="D15:D21" si="0">SUM(E15:I15)</f>
        <v>335600</v>
      </c>
      <c r="E15" s="9">
        <f>SUM('sav.f. 3 '!F15)</f>
        <v>335600</v>
      </c>
      <c r="F15" s="9"/>
      <c r="G15" s="9"/>
      <c r="H15" s="9"/>
      <c r="I15" s="97"/>
    </row>
    <row r="16" spans="1:9" ht="35.25" customHeight="1" x14ac:dyDescent="0.25">
      <c r="A16" s="82" t="s">
        <v>38</v>
      </c>
      <c r="B16" s="56" t="s">
        <v>196</v>
      </c>
      <c r="C16" s="34" t="s">
        <v>229</v>
      </c>
      <c r="D16" s="5">
        <f t="shared" si="0"/>
        <v>181200</v>
      </c>
      <c r="E16" s="5">
        <f>SUM('sav.f. 3 '!F17)</f>
        <v>181200</v>
      </c>
      <c r="F16" s="5"/>
      <c r="G16" s="5"/>
      <c r="H16" s="5"/>
      <c r="I16" s="69"/>
    </row>
    <row r="17" spans="1:9" ht="16.5" customHeight="1" x14ac:dyDescent="0.25">
      <c r="A17" s="82" t="s">
        <v>39</v>
      </c>
      <c r="B17" s="55" t="s">
        <v>8</v>
      </c>
      <c r="C17" s="5" t="s">
        <v>230</v>
      </c>
      <c r="D17" s="45">
        <f t="shared" si="0"/>
        <v>6933133</v>
      </c>
      <c r="E17" s="45">
        <v>5587070</v>
      </c>
      <c r="F17" s="45">
        <f>SUM('Valst.f. 4'!F14,'Valst.f. 4'!F15,'Valst.f. 4'!F16,'Valst.f. 4'!F17,'Valst.f. 4'!F19,'Valst.f. 4'!F20,'Valst.f. 4'!F21,'Valst.f. 4'!F22,'Valst.f. 4'!F24,'Valst.f. 4'!F25,'Valst.f. 4'!F27,'Valst.f. 4'!F33,'Valst.f. 4'!F53,'Valst.f. 4'!F18,'Valst.f. 4'!F35)</f>
        <v>1187755</v>
      </c>
      <c r="G17" s="45"/>
      <c r="H17" s="5">
        <f>152664+5644</f>
        <v>158308</v>
      </c>
      <c r="I17" s="118"/>
    </row>
    <row r="18" spans="1:9" ht="16.5" customHeight="1" x14ac:dyDescent="0.25">
      <c r="A18" s="82" t="s">
        <v>40</v>
      </c>
      <c r="B18" s="74" t="s">
        <v>8</v>
      </c>
      <c r="C18" s="58" t="s">
        <v>132</v>
      </c>
      <c r="D18" s="45">
        <f t="shared" si="0"/>
        <v>20700</v>
      </c>
      <c r="E18" s="45"/>
      <c r="F18" s="45">
        <f>SUM('Valst.f. 4'!F23)</f>
        <v>20700</v>
      </c>
      <c r="G18" s="45"/>
      <c r="H18" s="45"/>
      <c r="I18" s="118"/>
    </row>
    <row r="19" spans="1:9" ht="16.5" customHeight="1" x14ac:dyDescent="0.25">
      <c r="A19" s="98" t="s">
        <v>41</v>
      </c>
      <c r="B19" s="74" t="s">
        <v>8</v>
      </c>
      <c r="C19" s="58" t="s">
        <v>22</v>
      </c>
      <c r="D19" s="45">
        <f t="shared" si="0"/>
        <v>20000</v>
      </c>
      <c r="E19" s="45">
        <f>SUM('sav.f. 3 '!F21)</f>
        <v>20000</v>
      </c>
      <c r="F19" s="45"/>
      <c r="G19" s="45"/>
      <c r="H19" s="45"/>
      <c r="I19" s="118"/>
    </row>
    <row r="20" spans="1:9" ht="30.75" customHeight="1" x14ac:dyDescent="0.25">
      <c r="A20" s="98" t="s">
        <v>42</v>
      </c>
      <c r="B20" s="74" t="s">
        <v>319</v>
      </c>
      <c r="C20" s="73" t="s">
        <v>200</v>
      </c>
      <c r="D20" s="45">
        <f t="shared" si="0"/>
        <v>11369203</v>
      </c>
      <c r="E20" s="45">
        <f>SUM('sav.f. 3 '!F23)</f>
        <v>11369203</v>
      </c>
      <c r="F20" s="117"/>
      <c r="G20" s="117"/>
      <c r="H20" s="45"/>
      <c r="I20" s="118"/>
    </row>
    <row r="21" spans="1:9" ht="14.25" customHeight="1" x14ac:dyDescent="0.25">
      <c r="A21" s="290" t="s">
        <v>202</v>
      </c>
      <c r="B21" s="290"/>
      <c r="C21" s="290"/>
      <c r="D21" s="117">
        <f t="shared" si="0"/>
        <v>18859836</v>
      </c>
      <c r="E21" s="117">
        <f>SUM(E15:E20)</f>
        <v>17493073</v>
      </c>
      <c r="F21" s="117">
        <f>SUM(F15:F20)</f>
        <v>1208455</v>
      </c>
      <c r="G21" s="117">
        <f>SUM(G15:G20)</f>
        <v>0</v>
      </c>
      <c r="H21" s="117">
        <f>SUM(H15:H20)</f>
        <v>158308</v>
      </c>
      <c r="I21" s="117">
        <f>SUM(I15:I20)</f>
        <v>0</v>
      </c>
    </row>
    <row r="22" spans="1:9" ht="15.75" customHeight="1" x14ac:dyDescent="0.25">
      <c r="A22" s="291" t="s">
        <v>201</v>
      </c>
      <c r="B22" s="291"/>
      <c r="C22" s="291"/>
      <c r="D22" s="291"/>
      <c r="E22" s="291"/>
      <c r="F22" s="291"/>
      <c r="G22" s="291"/>
      <c r="H22" s="291"/>
      <c r="I22" s="291"/>
    </row>
    <row r="23" spans="1:9" ht="15" customHeight="1" x14ac:dyDescent="0.25">
      <c r="A23" s="82" t="s">
        <v>37</v>
      </c>
      <c r="B23" s="55" t="s">
        <v>83</v>
      </c>
      <c r="C23" s="57" t="s">
        <v>74</v>
      </c>
      <c r="D23" s="5">
        <f>SUM(E23:I23)</f>
        <v>11000</v>
      </c>
      <c r="E23" s="48">
        <f>SUM('sav.f. 3 '!F24)</f>
        <v>11000</v>
      </c>
      <c r="F23" s="50"/>
      <c r="G23" s="50"/>
      <c r="H23" s="50"/>
      <c r="I23" s="69"/>
    </row>
    <row r="24" spans="1:9" ht="15" customHeight="1" x14ac:dyDescent="0.25">
      <c r="A24" s="82" t="s">
        <v>38</v>
      </c>
      <c r="B24" s="55" t="s">
        <v>83</v>
      </c>
      <c r="C24" s="57" t="s">
        <v>322</v>
      </c>
      <c r="D24" s="5">
        <f>SUM(E24:I24)</f>
        <v>7900</v>
      </c>
      <c r="E24" s="48">
        <f>SUM('sav.f. 3 '!F25)</f>
        <v>7900</v>
      </c>
      <c r="F24" s="50"/>
      <c r="G24" s="50"/>
      <c r="H24" s="50"/>
      <c r="I24" s="69"/>
    </row>
    <row r="25" spans="1:9" ht="30" customHeight="1" x14ac:dyDescent="0.25">
      <c r="A25" s="82" t="s">
        <v>39</v>
      </c>
      <c r="B25" s="63" t="s">
        <v>83</v>
      </c>
      <c r="C25" s="64" t="s">
        <v>29</v>
      </c>
      <c r="D25" s="5">
        <f>SUM(E25:I25)</f>
        <v>7000</v>
      </c>
      <c r="E25" s="48">
        <f>SUM('sav.f. 3 '!F26)</f>
        <v>7000</v>
      </c>
      <c r="F25" s="50"/>
      <c r="G25" s="50"/>
      <c r="H25" s="50"/>
      <c r="I25" s="69"/>
    </row>
    <row r="26" spans="1:9" ht="15" customHeight="1" x14ac:dyDescent="0.25">
      <c r="A26" s="290" t="s">
        <v>202</v>
      </c>
      <c r="B26" s="290"/>
      <c r="C26" s="290"/>
      <c r="D26" s="99">
        <f t="shared" ref="D26:I26" si="1">SUM(D23:D25)</f>
        <v>25900</v>
      </c>
      <c r="E26" s="99">
        <f t="shared" si="1"/>
        <v>25900</v>
      </c>
      <c r="F26" s="99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</row>
    <row r="27" spans="1:9" ht="15.75" customHeight="1" x14ac:dyDescent="0.25">
      <c r="A27" s="291" t="s">
        <v>205</v>
      </c>
      <c r="B27" s="291"/>
      <c r="C27" s="291"/>
      <c r="D27" s="291"/>
      <c r="E27" s="291"/>
      <c r="F27" s="291"/>
      <c r="G27" s="291"/>
      <c r="H27" s="291"/>
      <c r="I27" s="291"/>
    </row>
    <row r="28" spans="1:9" ht="16.5" customHeight="1" x14ac:dyDescent="0.25">
      <c r="A28" s="82" t="s">
        <v>37</v>
      </c>
      <c r="B28" s="5" t="s">
        <v>8</v>
      </c>
      <c r="C28" s="66" t="s">
        <v>120</v>
      </c>
      <c r="D28" s="34">
        <f>SUM(E28:I28)</f>
        <v>15000</v>
      </c>
      <c r="E28" s="87">
        <f>SUM('sav.f. 3 '!F28)</f>
        <v>15000</v>
      </c>
      <c r="F28" s="50"/>
      <c r="G28" s="100"/>
      <c r="H28" s="100"/>
      <c r="I28" s="69"/>
    </row>
    <row r="29" spans="1:9" ht="15" customHeight="1" x14ac:dyDescent="0.25">
      <c r="A29" s="82" t="s">
        <v>38</v>
      </c>
      <c r="B29" s="5" t="s">
        <v>8</v>
      </c>
      <c r="C29" s="66" t="s">
        <v>204</v>
      </c>
      <c r="D29" s="48">
        <f>SUM(E29:I29)</f>
        <v>101940</v>
      </c>
      <c r="E29" s="87">
        <f>SUM('sav.f. 3 '!F29)</f>
        <v>101940</v>
      </c>
      <c r="F29" s="50"/>
      <c r="G29" s="50"/>
      <c r="H29" s="50"/>
      <c r="I29" s="69"/>
    </row>
    <row r="30" spans="1:9" ht="16.5" customHeight="1" x14ac:dyDescent="0.25">
      <c r="A30" s="290" t="s">
        <v>202</v>
      </c>
      <c r="B30" s="290"/>
      <c r="C30" s="290"/>
      <c r="D30" s="50">
        <f>SUM(E30:I30)</f>
        <v>116940</v>
      </c>
      <c r="E30" s="50">
        <f>SUM(E28:E29)</f>
        <v>116940</v>
      </c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</row>
    <row r="31" spans="1:9" ht="17.25" customHeight="1" x14ac:dyDescent="0.25">
      <c r="A31" s="291" t="s">
        <v>206</v>
      </c>
      <c r="B31" s="291"/>
      <c r="C31" s="291"/>
      <c r="D31" s="291"/>
      <c r="E31" s="291"/>
      <c r="F31" s="291"/>
      <c r="G31" s="291"/>
      <c r="H31" s="291"/>
      <c r="I31" s="291"/>
    </row>
    <row r="32" spans="1:9" ht="16.5" customHeight="1" x14ac:dyDescent="0.25">
      <c r="A32" s="82" t="s">
        <v>37</v>
      </c>
      <c r="B32" s="5" t="s">
        <v>8</v>
      </c>
      <c r="C32" s="5" t="s">
        <v>71</v>
      </c>
      <c r="D32" s="116">
        <f>SUM(E32:I32)</f>
        <v>169900</v>
      </c>
      <c r="E32" s="116">
        <f>SUM('sav.f. 3 '!F33)</f>
        <v>169900</v>
      </c>
      <c r="F32" s="45"/>
      <c r="G32" s="45"/>
      <c r="H32" s="45"/>
      <c r="I32" s="118"/>
    </row>
    <row r="33" spans="1:10" ht="16.5" customHeight="1" x14ac:dyDescent="0.25">
      <c r="A33" s="82" t="s">
        <v>38</v>
      </c>
      <c r="B33" s="5" t="s">
        <v>8</v>
      </c>
      <c r="C33" s="5" t="s">
        <v>341</v>
      </c>
      <c r="D33" s="115">
        <f>SUM(E33:I33)</f>
        <v>23400</v>
      </c>
      <c r="E33" s="115">
        <f>'sav.f. 3 '!G34</f>
        <v>23400</v>
      </c>
      <c r="F33" s="45"/>
      <c r="G33" s="45"/>
      <c r="H33" s="45"/>
      <c r="I33" s="118"/>
    </row>
    <row r="34" spans="1:10" ht="15.75" customHeight="1" x14ac:dyDescent="0.25">
      <c r="A34" s="82" t="s">
        <v>39</v>
      </c>
      <c r="B34" s="5" t="s">
        <v>8</v>
      </c>
      <c r="C34" s="5" t="s">
        <v>23</v>
      </c>
      <c r="D34" s="45">
        <f>SUM(E34:I34)</f>
        <v>316000</v>
      </c>
      <c r="E34" s="45">
        <f>SUM('sav.f. 3 '!G35)</f>
        <v>316000</v>
      </c>
      <c r="F34" s="45"/>
      <c r="G34" s="129"/>
      <c r="H34" s="129"/>
      <c r="I34" s="118"/>
    </row>
    <row r="35" spans="1:10" ht="15.75" customHeight="1" x14ac:dyDescent="0.25">
      <c r="A35" s="290" t="s">
        <v>202</v>
      </c>
      <c r="B35" s="290"/>
      <c r="C35" s="290"/>
      <c r="D35" s="124">
        <f>SUM(E35:I35)</f>
        <v>509300</v>
      </c>
      <c r="E35" s="124">
        <f>SUM(E32:E34)</f>
        <v>509300</v>
      </c>
      <c r="F35" s="124">
        <f>SUM(F32:F34)</f>
        <v>0</v>
      </c>
      <c r="G35" s="124">
        <f>SUM(G32:G34)</f>
        <v>0</v>
      </c>
      <c r="H35" s="124">
        <f>SUM(H32:H34)</f>
        <v>0</v>
      </c>
      <c r="I35" s="124">
        <f>SUM(I32:I34)</f>
        <v>0</v>
      </c>
    </row>
    <row r="36" spans="1:10" ht="16.5" customHeight="1" x14ac:dyDescent="0.25">
      <c r="A36" s="291" t="s">
        <v>207</v>
      </c>
      <c r="B36" s="291"/>
      <c r="C36" s="291"/>
      <c r="D36" s="291"/>
      <c r="E36" s="291"/>
      <c r="F36" s="291"/>
      <c r="G36" s="291"/>
      <c r="H36" s="291"/>
      <c r="I36" s="291"/>
    </row>
    <row r="37" spans="1:10" ht="17.25" customHeight="1" x14ac:dyDescent="0.25">
      <c r="A37" s="82" t="s">
        <v>37</v>
      </c>
      <c r="B37" s="5" t="s">
        <v>8</v>
      </c>
      <c r="C37" s="5" t="s">
        <v>70</v>
      </c>
      <c r="D37" s="5">
        <f>SUM(E37:I37)</f>
        <v>40000</v>
      </c>
      <c r="E37" s="5">
        <f>SUM('sav.f. 3 '!F36)</f>
        <v>40000</v>
      </c>
      <c r="F37" s="5"/>
      <c r="G37" s="5"/>
      <c r="H37" s="5"/>
      <c r="I37" s="69"/>
    </row>
    <row r="38" spans="1:10" ht="15" customHeight="1" x14ac:dyDescent="0.25">
      <c r="A38" s="290" t="s">
        <v>202</v>
      </c>
      <c r="B38" s="290"/>
      <c r="C38" s="290"/>
      <c r="D38" s="91">
        <f>SUM(E38:I38)</f>
        <v>40000</v>
      </c>
      <c r="E38" s="91">
        <f>SUM(E37)</f>
        <v>40000</v>
      </c>
      <c r="F38" s="91">
        <f>SUM(F37)</f>
        <v>0</v>
      </c>
      <c r="G38" s="91">
        <f>SUM(G37)</f>
        <v>0</v>
      </c>
      <c r="H38" s="91">
        <f>SUM(H37)</f>
        <v>0</v>
      </c>
      <c r="I38" s="91">
        <f>SUM(I37)</f>
        <v>0</v>
      </c>
    </row>
    <row r="39" spans="1:10" ht="15" customHeight="1" x14ac:dyDescent="0.25">
      <c r="A39" s="291" t="s">
        <v>209</v>
      </c>
      <c r="B39" s="291"/>
      <c r="C39" s="291"/>
      <c r="D39" s="291"/>
      <c r="E39" s="291"/>
      <c r="F39" s="291"/>
      <c r="G39" s="291"/>
      <c r="H39" s="291"/>
      <c r="I39" s="291"/>
    </row>
    <row r="40" spans="1:10" ht="15" customHeight="1" x14ac:dyDescent="0.25">
      <c r="A40" s="103" t="s">
        <v>37</v>
      </c>
      <c r="B40" s="104" t="s">
        <v>8</v>
      </c>
      <c r="C40" s="105" t="s">
        <v>210</v>
      </c>
      <c r="D40" s="9">
        <f>SUM(E40:I40)</f>
        <v>394700</v>
      </c>
      <c r="E40" s="34"/>
      <c r="F40" s="34">
        <f>SUM('Valst.f. 4'!F29)</f>
        <v>394700</v>
      </c>
      <c r="G40" s="9"/>
      <c r="H40" s="9"/>
      <c r="I40" s="97"/>
    </row>
    <row r="41" spans="1:10" ht="16.5" customHeight="1" x14ac:dyDescent="0.25">
      <c r="A41" s="290" t="s">
        <v>202</v>
      </c>
      <c r="B41" s="290"/>
      <c r="C41" s="290"/>
      <c r="D41" s="106">
        <f>SUM(E41:I41)</f>
        <v>394700</v>
      </c>
      <c r="E41" s="106">
        <f>SUM(E40)</f>
        <v>0</v>
      </c>
      <c r="F41" s="106">
        <f>SUM(F40)</f>
        <v>394700</v>
      </c>
      <c r="G41" s="106">
        <f>SUM(G40)</f>
        <v>0</v>
      </c>
      <c r="H41" s="106">
        <f>SUM(H40)</f>
        <v>0</v>
      </c>
      <c r="I41" s="91">
        <f>SUM(I40)</f>
        <v>0</v>
      </c>
    </row>
    <row r="42" spans="1:10" ht="15.75" customHeight="1" x14ac:dyDescent="0.25">
      <c r="A42" s="291" t="s">
        <v>211</v>
      </c>
      <c r="B42" s="291"/>
      <c r="C42" s="291"/>
      <c r="D42" s="291"/>
      <c r="E42" s="291"/>
      <c r="F42" s="291"/>
      <c r="G42" s="291"/>
      <c r="H42" s="291"/>
      <c r="I42" s="291"/>
    </row>
    <row r="43" spans="1:10" ht="15" customHeight="1" x14ac:dyDescent="0.25">
      <c r="A43" s="82" t="s">
        <v>37</v>
      </c>
      <c r="B43" s="5" t="s">
        <v>8</v>
      </c>
      <c r="C43" s="76" t="s">
        <v>315</v>
      </c>
      <c r="D43" s="34">
        <f>SUM(E43:I43)</f>
        <v>386063</v>
      </c>
      <c r="E43" s="34">
        <v>39463</v>
      </c>
      <c r="F43" s="34">
        <f>SUM('Valst.f. 4'!F28)</f>
        <v>310000</v>
      </c>
      <c r="G43" s="9"/>
      <c r="H43" s="9">
        <v>36600</v>
      </c>
      <c r="I43" s="69"/>
    </row>
    <row r="44" spans="1:10" ht="15.75" customHeight="1" x14ac:dyDescent="0.25">
      <c r="A44" s="289" t="s">
        <v>202</v>
      </c>
      <c r="B44" s="289"/>
      <c r="C44" s="289"/>
      <c r="D44" s="101">
        <f>SUM(E44:I44)</f>
        <v>386063</v>
      </c>
      <c r="E44" s="101">
        <f>SUM(E43:E43)</f>
        <v>39463</v>
      </c>
      <c r="F44" s="101">
        <f>SUM(F43:F43)</f>
        <v>310000</v>
      </c>
      <c r="G44" s="101">
        <f>SUM(G43:G43)</f>
        <v>0</v>
      </c>
      <c r="H44" s="101">
        <f>SUM(H43:H43)</f>
        <v>36600</v>
      </c>
      <c r="I44" s="102">
        <f>SUM(I43:I43)</f>
        <v>0</v>
      </c>
    </row>
    <row r="45" spans="1:10" s="107" customFormat="1" ht="18" customHeight="1" x14ac:dyDescent="0.25">
      <c r="A45" s="294" t="s">
        <v>213</v>
      </c>
      <c r="B45" s="294"/>
      <c r="C45" s="294"/>
      <c r="D45" s="294"/>
      <c r="E45" s="294"/>
      <c r="F45" s="294"/>
      <c r="G45" s="294"/>
      <c r="H45" s="294"/>
      <c r="I45" s="294"/>
      <c r="J45" s="53"/>
    </row>
    <row r="46" spans="1:10" s="107" customFormat="1" ht="15.75" customHeight="1" x14ac:dyDescent="0.25">
      <c r="A46" s="108" t="s">
        <v>37</v>
      </c>
      <c r="B46" s="55" t="s">
        <v>8</v>
      </c>
      <c r="C46" s="55" t="s">
        <v>156</v>
      </c>
      <c r="D46" s="49">
        <f>SUM(E46:I46)</f>
        <v>1359095</v>
      </c>
      <c r="E46" s="49">
        <v>17400</v>
      </c>
      <c r="F46" s="49">
        <f>SUM('Valst.f. 4'!F26)</f>
        <v>1332831</v>
      </c>
      <c r="G46" s="49"/>
      <c r="H46" s="49">
        <v>8864</v>
      </c>
      <c r="I46" s="108"/>
      <c r="J46" s="53"/>
    </row>
    <row r="47" spans="1:10" s="107" customFormat="1" ht="15.75" customHeight="1" x14ac:dyDescent="0.25">
      <c r="A47" s="108" t="s">
        <v>38</v>
      </c>
      <c r="B47" s="55" t="s">
        <v>8</v>
      </c>
      <c r="C47" s="68" t="s">
        <v>113</v>
      </c>
      <c r="D47" s="49">
        <f t="shared" ref="D47:D65" si="2">SUM(E47:I47)</f>
        <v>1925003</v>
      </c>
      <c r="E47" s="49">
        <v>1919600</v>
      </c>
      <c r="F47" s="49"/>
      <c r="G47" s="49"/>
      <c r="H47" s="49">
        <v>5403</v>
      </c>
      <c r="I47" s="108"/>
      <c r="J47" s="53"/>
    </row>
    <row r="48" spans="1:10" ht="15.75" customHeight="1" x14ac:dyDescent="0.25">
      <c r="A48" s="82" t="s">
        <v>39</v>
      </c>
      <c r="B48" s="55" t="s">
        <v>8</v>
      </c>
      <c r="C48" s="68" t="s">
        <v>5</v>
      </c>
      <c r="D48" s="49">
        <f t="shared" si="2"/>
        <v>99900</v>
      </c>
      <c r="E48" s="87">
        <f>SUM('sav.f. 3 '!F57)</f>
        <v>99900</v>
      </c>
      <c r="F48" s="87"/>
      <c r="G48" s="5"/>
      <c r="H48" s="5"/>
      <c r="I48" s="69"/>
    </row>
    <row r="49" spans="1:9" ht="15.75" customHeight="1" x14ac:dyDescent="0.25">
      <c r="A49" s="82" t="s">
        <v>40</v>
      </c>
      <c r="B49" s="55" t="s">
        <v>234</v>
      </c>
      <c r="C49" s="68" t="s">
        <v>316</v>
      </c>
      <c r="D49" s="49">
        <f t="shared" si="2"/>
        <v>11520</v>
      </c>
      <c r="E49" s="87">
        <f>SUM('sav.f. 3 '!F40,'sav.f. 3 '!F58)</f>
        <v>11520</v>
      </c>
      <c r="F49" s="87"/>
      <c r="G49" s="5"/>
      <c r="H49" s="5"/>
      <c r="I49" s="69"/>
    </row>
    <row r="50" spans="1:9" ht="15.75" customHeight="1" x14ac:dyDescent="0.25">
      <c r="A50" s="82" t="s">
        <v>41</v>
      </c>
      <c r="B50" s="55" t="s">
        <v>235</v>
      </c>
      <c r="C50" s="68" t="s">
        <v>316</v>
      </c>
      <c r="D50" s="49">
        <f t="shared" si="2"/>
        <v>24540</v>
      </c>
      <c r="E50" s="87">
        <f>SUM('sav.f. 3 '!F41,'sav.f. 3 '!F59)</f>
        <v>24540</v>
      </c>
      <c r="F50" s="87"/>
      <c r="G50" s="5"/>
      <c r="H50" s="5"/>
      <c r="I50" s="69"/>
    </row>
    <row r="51" spans="1:9" ht="15.75" customHeight="1" x14ac:dyDescent="0.25">
      <c r="A51" s="82" t="s">
        <v>42</v>
      </c>
      <c r="B51" s="55" t="s">
        <v>236</v>
      </c>
      <c r="C51" s="68" t="s">
        <v>316</v>
      </c>
      <c r="D51" s="49">
        <f t="shared" si="2"/>
        <v>25870</v>
      </c>
      <c r="E51" s="87">
        <f>SUM('sav.f. 3 '!F42,'sav.f. 3 '!F60)</f>
        <v>25870</v>
      </c>
      <c r="F51" s="87"/>
      <c r="G51" s="5"/>
      <c r="H51" s="5"/>
      <c r="I51" s="69"/>
    </row>
    <row r="52" spans="1:9" ht="15.75" customHeight="1" x14ac:dyDescent="0.25">
      <c r="A52" s="82" t="s">
        <v>43</v>
      </c>
      <c r="B52" s="55" t="s">
        <v>237</v>
      </c>
      <c r="C52" s="68" t="s">
        <v>316</v>
      </c>
      <c r="D52" s="49">
        <f t="shared" si="2"/>
        <v>18610</v>
      </c>
      <c r="E52" s="87">
        <f>SUM('sav.f. 3 '!F43,'sav.f. 3 '!F61)</f>
        <v>18610</v>
      </c>
      <c r="F52" s="87"/>
      <c r="G52" s="5"/>
      <c r="H52" s="5"/>
      <c r="I52" s="69"/>
    </row>
    <row r="53" spans="1:9" ht="15.75" customHeight="1" x14ac:dyDescent="0.25">
      <c r="A53" s="82" t="s">
        <v>44</v>
      </c>
      <c r="B53" s="55" t="s">
        <v>250</v>
      </c>
      <c r="C53" s="68" t="s">
        <v>316</v>
      </c>
      <c r="D53" s="49">
        <f t="shared" si="2"/>
        <v>364780</v>
      </c>
      <c r="E53" s="87">
        <f>SUM('sav.f. 3 '!F44,'sav.f. 3 '!F62)</f>
        <v>364780</v>
      </c>
      <c r="F53" s="87"/>
      <c r="G53" s="5"/>
      <c r="H53" s="5"/>
      <c r="I53" s="69"/>
    </row>
    <row r="54" spans="1:9" ht="15.75" customHeight="1" x14ac:dyDescent="0.25">
      <c r="A54" s="82" t="s">
        <v>45</v>
      </c>
      <c r="B54" s="55" t="s">
        <v>239</v>
      </c>
      <c r="C54" s="68" t="s">
        <v>316</v>
      </c>
      <c r="D54" s="49">
        <f t="shared" si="2"/>
        <v>51160</v>
      </c>
      <c r="E54" s="87">
        <v>46160</v>
      </c>
      <c r="F54" s="87"/>
      <c r="G54" s="5"/>
      <c r="H54" s="5">
        <v>5000</v>
      </c>
      <c r="I54" s="69"/>
    </row>
    <row r="55" spans="1:9" ht="15.75" customHeight="1" x14ac:dyDescent="0.25">
      <c r="A55" s="82" t="s">
        <v>46</v>
      </c>
      <c r="B55" s="55" t="s">
        <v>240</v>
      </c>
      <c r="C55" s="68" t="s">
        <v>316</v>
      </c>
      <c r="D55" s="49">
        <f t="shared" si="2"/>
        <v>16300</v>
      </c>
      <c r="E55" s="87">
        <f>SUM('sav.f. 3 '!F46,'sav.f. 3 '!F64)</f>
        <v>16300</v>
      </c>
      <c r="F55" s="87"/>
      <c r="G55" s="5"/>
      <c r="H55" s="5"/>
      <c r="I55" s="69"/>
    </row>
    <row r="56" spans="1:9" ht="15.75" customHeight="1" x14ac:dyDescent="0.25">
      <c r="A56" s="82" t="s">
        <v>47</v>
      </c>
      <c r="B56" s="55" t="s">
        <v>241</v>
      </c>
      <c r="C56" s="68" t="s">
        <v>316</v>
      </c>
      <c r="D56" s="49">
        <f t="shared" si="2"/>
        <v>56400</v>
      </c>
      <c r="E56" s="87">
        <f>SUM('sav.f. 3 '!F47,'sav.f. 3 '!F65)</f>
        <v>56400</v>
      </c>
      <c r="F56" s="87"/>
      <c r="G56" s="5"/>
      <c r="H56" s="5"/>
      <c r="I56" s="69"/>
    </row>
    <row r="57" spans="1:9" ht="15.75" customHeight="1" x14ac:dyDescent="0.25">
      <c r="A57" s="82" t="s">
        <v>48</v>
      </c>
      <c r="B57" s="55" t="s">
        <v>242</v>
      </c>
      <c r="C57" s="68" t="s">
        <v>316</v>
      </c>
      <c r="D57" s="49">
        <f t="shared" si="2"/>
        <v>11700</v>
      </c>
      <c r="E57" s="87">
        <f>SUM('sav.f. 3 '!F48,'sav.f. 3 '!F66)</f>
        <v>11700</v>
      </c>
      <c r="F57" s="87"/>
      <c r="G57" s="5"/>
      <c r="H57" s="5"/>
      <c r="I57" s="69"/>
    </row>
    <row r="58" spans="1:9" ht="15.75" customHeight="1" x14ac:dyDescent="0.25">
      <c r="A58" s="82" t="s">
        <v>49</v>
      </c>
      <c r="B58" s="55" t="s">
        <v>243</v>
      </c>
      <c r="C58" s="68" t="s">
        <v>316</v>
      </c>
      <c r="D58" s="49">
        <f t="shared" si="2"/>
        <v>42400</v>
      </c>
      <c r="E58" s="87">
        <v>33400</v>
      </c>
      <c r="F58" s="87"/>
      <c r="G58" s="5"/>
      <c r="H58" s="5">
        <v>9000</v>
      </c>
      <c r="I58" s="69"/>
    </row>
    <row r="59" spans="1:9" ht="15.75" customHeight="1" x14ac:dyDescent="0.25">
      <c r="A59" s="82" t="s">
        <v>50</v>
      </c>
      <c r="B59" s="55" t="s">
        <v>244</v>
      </c>
      <c r="C59" s="68" t="s">
        <v>316</v>
      </c>
      <c r="D59" s="49">
        <f t="shared" si="2"/>
        <v>18100</v>
      </c>
      <c r="E59" s="87">
        <f>SUM('sav.f. 3 '!F50,'sav.f. 3 '!F68)</f>
        <v>18100</v>
      </c>
      <c r="F59" s="87"/>
      <c r="G59" s="5"/>
      <c r="H59" s="5"/>
      <c r="I59" s="69"/>
    </row>
    <row r="60" spans="1:9" ht="15.75" customHeight="1" x14ac:dyDescent="0.25">
      <c r="A60" s="82" t="s">
        <v>51</v>
      </c>
      <c r="B60" s="55" t="s">
        <v>245</v>
      </c>
      <c r="C60" s="68" t="s">
        <v>316</v>
      </c>
      <c r="D60" s="49">
        <f t="shared" si="2"/>
        <v>14800</v>
      </c>
      <c r="E60" s="87">
        <f>SUM('sav.f. 3 '!F51,'sav.f. 3 '!F69)</f>
        <v>14800</v>
      </c>
      <c r="F60" s="87"/>
      <c r="G60" s="5"/>
      <c r="H60" s="5"/>
      <c r="I60" s="69"/>
    </row>
    <row r="61" spans="1:9" ht="15.75" customHeight="1" x14ac:dyDescent="0.25">
      <c r="A61" s="82" t="s">
        <v>52</v>
      </c>
      <c r="B61" s="55" t="s">
        <v>246</v>
      </c>
      <c r="C61" s="68" t="s">
        <v>316</v>
      </c>
      <c r="D61" s="49">
        <f t="shared" si="2"/>
        <v>167870</v>
      </c>
      <c r="E61" s="87">
        <f>SUM('sav.f. 3 '!F52,'sav.f. 3 '!F70)</f>
        <v>167870</v>
      </c>
      <c r="F61" s="87"/>
      <c r="G61" s="5"/>
      <c r="H61" s="5"/>
      <c r="I61" s="69"/>
    </row>
    <row r="62" spans="1:9" ht="15.75" customHeight="1" x14ac:dyDescent="0.25">
      <c r="A62" s="82" t="s">
        <v>53</v>
      </c>
      <c r="B62" s="55" t="s">
        <v>247</v>
      </c>
      <c r="C62" s="68" t="s">
        <v>316</v>
      </c>
      <c r="D62" s="49">
        <f t="shared" si="2"/>
        <v>99372</v>
      </c>
      <c r="E62" s="87">
        <f>SUM('sav.f. 3 '!F53,'sav.f. 3 '!F71)</f>
        <v>99372</v>
      </c>
      <c r="F62" s="87"/>
      <c r="G62" s="5"/>
      <c r="H62" s="5"/>
      <c r="I62" s="69"/>
    </row>
    <row r="63" spans="1:9" ht="15.75" customHeight="1" x14ac:dyDescent="0.25">
      <c r="A63" s="82" t="s">
        <v>54</v>
      </c>
      <c r="B63" s="55" t="s">
        <v>8</v>
      </c>
      <c r="C63" s="68" t="s">
        <v>159</v>
      </c>
      <c r="D63" s="49">
        <f t="shared" si="2"/>
        <v>10000</v>
      </c>
      <c r="E63" s="5">
        <f>SUM('sav.f. 3 '!F56)</f>
        <v>10000</v>
      </c>
      <c r="F63" s="5"/>
      <c r="G63" s="5"/>
      <c r="H63" s="5"/>
      <c r="I63" s="69"/>
    </row>
    <row r="64" spans="1:9" ht="15.75" customHeight="1" x14ac:dyDescent="0.25">
      <c r="A64" s="82" t="s">
        <v>55</v>
      </c>
      <c r="B64" s="55" t="s">
        <v>8</v>
      </c>
      <c r="C64" s="122" t="s">
        <v>16</v>
      </c>
      <c r="D64" s="49">
        <f t="shared" si="2"/>
        <v>157950</v>
      </c>
      <c r="E64" s="5">
        <f>SUM('sav.f. 3 '!F55)</f>
        <v>157950</v>
      </c>
      <c r="F64" s="5"/>
      <c r="G64" s="5"/>
      <c r="H64" s="5"/>
      <c r="I64" s="69"/>
    </row>
    <row r="65" spans="1:9" ht="15.75" customHeight="1" x14ac:dyDescent="0.25">
      <c r="A65" s="82" t="s">
        <v>56</v>
      </c>
      <c r="B65" s="55" t="s">
        <v>8</v>
      </c>
      <c r="C65" s="68" t="s">
        <v>157</v>
      </c>
      <c r="D65" s="49">
        <f t="shared" si="2"/>
        <v>94915</v>
      </c>
      <c r="E65" s="5">
        <v>86000</v>
      </c>
      <c r="F65" s="5"/>
      <c r="G65" s="5"/>
      <c r="H65" s="5">
        <v>8915</v>
      </c>
      <c r="I65" s="69"/>
    </row>
    <row r="66" spans="1:9" ht="17.25" customHeight="1" x14ac:dyDescent="0.25">
      <c r="A66" s="290" t="s">
        <v>202</v>
      </c>
      <c r="B66" s="290"/>
      <c r="C66" s="290"/>
      <c r="D66" s="91">
        <f>SUM(E66:I66)</f>
        <v>4570285</v>
      </c>
      <c r="E66" s="91">
        <f>SUM(E46:E65)</f>
        <v>3200272</v>
      </c>
      <c r="F66" s="91">
        <f>SUM(F46:F65)</f>
        <v>1332831</v>
      </c>
      <c r="G66" s="91">
        <f>SUM(G46:G65)</f>
        <v>0</v>
      </c>
      <c r="H66" s="91">
        <f>SUM(H46:H65)</f>
        <v>37182</v>
      </c>
      <c r="I66" s="91">
        <f>SUM(I46:I65)</f>
        <v>0</v>
      </c>
    </row>
    <row r="67" spans="1:9" ht="15.75" customHeight="1" x14ac:dyDescent="0.25">
      <c r="A67" s="291" t="s">
        <v>214</v>
      </c>
      <c r="B67" s="291"/>
      <c r="C67" s="291"/>
      <c r="D67" s="291"/>
      <c r="E67" s="291"/>
      <c r="F67" s="291"/>
      <c r="G67" s="291"/>
      <c r="H67" s="291"/>
      <c r="I67" s="291"/>
    </row>
    <row r="68" spans="1:9" ht="18.75" customHeight="1" x14ac:dyDescent="0.25">
      <c r="A68" s="82" t="s">
        <v>37</v>
      </c>
      <c r="B68" s="5" t="s">
        <v>8</v>
      </c>
      <c r="C68" s="109" t="s">
        <v>116</v>
      </c>
      <c r="D68" s="34">
        <f>SUM(E68:I68)</f>
        <v>345590</v>
      </c>
      <c r="E68" s="69">
        <f>SUM(AARP.6!I41)</f>
        <v>345590</v>
      </c>
      <c r="F68" s="9"/>
      <c r="G68" s="9"/>
      <c r="H68" s="9"/>
      <c r="I68" s="69"/>
    </row>
    <row r="69" spans="1:9" ht="17.25" customHeight="1" x14ac:dyDescent="0.25">
      <c r="A69" s="297" t="s">
        <v>202</v>
      </c>
      <c r="B69" s="297"/>
      <c r="C69" s="297"/>
      <c r="D69" s="123">
        <f>SUM(E69:I69)</f>
        <v>345590</v>
      </c>
      <c r="E69" s="124">
        <f>SUM(E68:E68)</f>
        <v>345590</v>
      </c>
      <c r="F69" s="124">
        <f>SUM(F68:F68)</f>
        <v>0</v>
      </c>
      <c r="G69" s="124">
        <f>SUM(G68:G68)</f>
        <v>0</v>
      </c>
      <c r="H69" s="124">
        <f>SUM(H68:H68)</f>
        <v>0</v>
      </c>
      <c r="I69" s="124">
        <f>SUM(I68:I68)</f>
        <v>0</v>
      </c>
    </row>
    <row r="70" spans="1:9" ht="15" customHeight="1" x14ac:dyDescent="0.25">
      <c r="A70" s="293" t="s">
        <v>215</v>
      </c>
      <c r="B70" s="293"/>
      <c r="C70" s="293"/>
      <c r="D70" s="293"/>
      <c r="E70" s="293"/>
      <c r="F70" s="293"/>
      <c r="G70" s="293"/>
      <c r="H70" s="293"/>
      <c r="I70" s="293"/>
    </row>
    <row r="71" spans="1:9" ht="15" customHeight="1" x14ac:dyDescent="0.25">
      <c r="A71" s="121" t="s">
        <v>37</v>
      </c>
      <c r="B71" s="45" t="s">
        <v>8</v>
      </c>
      <c r="C71" s="45" t="s">
        <v>17</v>
      </c>
      <c r="D71" s="116">
        <f>SUM(E71:I71)</f>
        <v>5133077</v>
      </c>
      <c r="E71" s="119">
        <v>5033077</v>
      </c>
      <c r="F71" s="119"/>
      <c r="G71" s="119"/>
      <c r="H71" s="119">
        <v>100000</v>
      </c>
      <c r="I71" s="118"/>
    </row>
    <row r="72" spans="1:9" ht="15" customHeight="1" x14ac:dyDescent="0.25">
      <c r="A72" s="297" t="s">
        <v>202</v>
      </c>
      <c r="B72" s="297"/>
      <c r="C72" s="297"/>
      <c r="D72" s="117">
        <f>SUM(D71)</f>
        <v>5133077</v>
      </c>
      <c r="E72" s="117">
        <f>SUM(E71)</f>
        <v>5033077</v>
      </c>
      <c r="F72" s="117">
        <f ca="1">SUM(F71:F132)</f>
        <v>0</v>
      </c>
      <c r="G72" s="117">
        <f ca="1">SUM(G71:G132)</f>
        <v>0</v>
      </c>
      <c r="H72" s="117">
        <f>SUM(H71)</f>
        <v>100000</v>
      </c>
      <c r="I72" s="117">
        <f ca="1">SUM(I71:I132)</f>
        <v>0</v>
      </c>
    </row>
    <row r="73" spans="1:9" ht="16.5" customHeight="1" x14ac:dyDescent="0.25">
      <c r="A73" s="293" t="s">
        <v>216</v>
      </c>
      <c r="B73" s="293"/>
      <c r="C73" s="293"/>
      <c r="D73" s="293"/>
      <c r="E73" s="293"/>
      <c r="F73" s="293"/>
      <c r="G73" s="293"/>
      <c r="H73" s="293"/>
      <c r="I73" s="293"/>
    </row>
    <row r="74" spans="1:9" ht="18.75" customHeight="1" x14ac:dyDescent="0.25">
      <c r="A74" s="121" t="s">
        <v>37</v>
      </c>
      <c r="B74" s="45" t="s">
        <v>8</v>
      </c>
      <c r="C74" s="125" t="s">
        <v>27</v>
      </c>
      <c r="D74" s="116">
        <f>SUM(E74:I74)</f>
        <v>23000</v>
      </c>
      <c r="E74" s="119">
        <f>SUM('sav.f. 3 '!F54)</f>
        <v>23000</v>
      </c>
      <c r="F74" s="119"/>
      <c r="G74" s="119"/>
      <c r="H74" s="119"/>
      <c r="I74" s="118"/>
    </row>
    <row r="75" spans="1:9" ht="18.75" customHeight="1" x14ac:dyDescent="0.25">
      <c r="A75" s="170" t="s">
        <v>38</v>
      </c>
      <c r="B75" s="45" t="s">
        <v>8</v>
      </c>
      <c r="C75" s="68" t="s">
        <v>325</v>
      </c>
      <c r="D75" s="116">
        <f>SUM(E75:I75)</f>
        <v>3900</v>
      </c>
      <c r="E75" s="171">
        <f>SUM('sav.f. 3 '!F124)</f>
        <v>3900</v>
      </c>
      <c r="F75" s="171"/>
      <c r="G75" s="171"/>
      <c r="H75" s="171"/>
      <c r="I75" s="172"/>
    </row>
    <row r="76" spans="1:9" ht="16.5" customHeight="1" x14ac:dyDescent="0.25">
      <c r="A76" s="292" t="s">
        <v>202</v>
      </c>
      <c r="B76" s="292"/>
      <c r="C76" s="292"/>
      <c r="D76" s="126">
        <f>SUM(D74:D75)</f>
        <v>26900</v>
      </c>
      <c r="E76" s="126">
        <f>SUM(E74:E75)</f>
        <v>26900</v>
      </c>
      <c r="F76" s="126">
        <f t="shared" ref="F76:I76" si="3">SUM(F74:F74)</f>
        <v>0</v>
      </c>
      <c r="G76" s="126">
        <f t="shared" si="3"/>
        <v>0</v>
      </c>
      <c r="H76" s="126">
        <f t="shared" si="3"/>
        <v>0</v>
      </c>
      <c r="I76" s="127">
        <f t="shared" si="3"/>
        <v>0</v>
      </c>
    </row>
    <row r="77" spans="1:9" ht="21" customHeight="1" x14ac:dyDescent="0.25">
      <c r="A77" s="291" t="s">
        <v>217</v>
      </c>
      <c r="B77" s="291"/>
      <c r="C77" s="291"/>
      <c r="D77" s="291"/>
      <c r="E77" s="291"/>
      <c r="F77" s="291"/>
      <c r="G77" s="291"/>
      <c r="H77" s="291"/>
      <c r="I77" s="291"/>
    </row>
    <row r="78" spans="1:9" ht="18.75" customHeight="1" x14ac:dyDescent="0.25">
      <c r="A78" s="82" t="s">
        <v>37</v>
      </c>
      <c r="B78" s="5" t="s">
        <v>8</v>
      </c>
      <c r="C78" s="5" t="s">
        <v>72</v>
      </c>
      <c r="D78" s="45">
        <f t="shared" ref="D78:D82" si="4">SUM(E78:I78)</f>
        <v>404000</v>
      </c>
      <c r="E78" s="45">
        <f>SUM('sav.f. 3 '!F73)</f>
        <v>10000</v>
      </c>
      <c r="F78" s="5">
        <f>SUM('Valst.f. 4'!F60)</f>
        <v>394000</v>
      </c>
      <c r="G78" s="5"/>
      <c r="H78" s="5"/>
      <c r="I78" s="69"/>
    </row>
    <row r="79" spans="1:9" ht="18.75" customHeight="1" x14ac:dyDescent="0.25">
      <c r="A79" s="82" t="s">
        <v>38</v>
      </c>
      <c r="B79" s="5" t="s">
        <v>8</v>
      </c>
      <c r="C79" s="5" t="s">
        <v>30</v>
      </c>
      <c r="D79" s="5">
        <f t="shared" si="4"/>
        <v>14000</v>
      </c>
      <c r="E79" s="5">
        <f>SUM('sav.f. 3 '!F74)</f>
        <v>14000</v>
      </c>
      <c r="F79" s="5"/>
      <c r="G79" s="5"/>
      <c r="H79" s="5"/>
      <c r="I79" s="69"/>
    </row>
    <row r="80" spans="1:9" ht="18.75" customHeight="1" x14ac:dyDescent="0.25">
      <c r="A80" s="82" t="s">
        <v>39</v>
      </c>
      <c r="B80" s="5" t="s">
        <v>8</v>
      </c>
      <c r="C80" s="68" t="s">
        <v>218</v>
      </c>
      <c r="D80" s="5">
        <f t="shared" si="4"/>
        <v>10000</v>
      </c>
      <c r="E80" s="5">
        <f>SUM('sav.f. 3 '!F75)</f>
        <v>10000</v>
      </c>
      <c r="F80" s="5"/>
      <c r="G80" s="5"/>
      <c r="H80" s="5"/>
      <c r="I80" s="69"/>
    </row>
    <row r="81" spans="1:9" ht="18.75" customHeight="1" x14ac:dyDescent="0.25">
      <c r="A81" s="82" t="s">
        <v>40</v>
      </c>
      <c r="B81" s="68" t="s">
        <v>122</v>
      </c>
      <c r="C81" s="68" t="s">
        <v>15</v>
      </c>
      <c r="D81" s="5">
        <f t="shared" si="4"/>
        <v>285800</v>
      </c>
      <c r="E81" s="5">
        <v>40900</v>
      </c>
      <c r="F81" s="5">
        <f>SUM('Valst.f. 4'!F55)</f>
        <v>241600</v>
      </c>
      <c r="G81" s="5"/>
      <c r="H81" s="5">
        <v>1300</v>
      </c>
      <c r="I81" s="69">
        <f>SUM(Spec.7!G25)</f>
        <v>2000</v>
      </c>
    </row>
    <row r="82" spans="1:9" ht="17.25" customHeight="1" x14ac:dyDescent="0.25">
      <c r="A82" s="290" t="s">
        <v>202</v>
      </c>
      <c r="B82" s="290"/>
      <c r="C82" s="290"/>
      <c r="D82" s="117">
        <f t="shared" si="4"/>
        <v>713800</v>
      </c>
      <c r="E82" s="117">
        <f>SUM(E78:E81)</f>
        <v>74900</v>
      </c>
      <c r="F82" s="50">
        <f>SUM(F78:F81)</f>
        <v>635600</v>
      </c>
      <c r="G82" s="50">
        <f>SUM(G78:G81)</f>
        <v>0</v>
      </c>
      <c r="H82" s="50">
        <f>SUM(H78:H81)</f>
        <v>1300</v>
      </c>
      <c r="I82" s="50">
        <f>SUM(I78:I81)</f>
        <v>2000</v>
      </c>
    </row>
    <row r="83" spans="1:9" ht="19.5" customHeight="1" x14ac:dyDescent="0.25">
      <c r="A83" s="291" t="s">
        <v>219</v>
      </c>
      <c r="B83" s="291"/>
      <c r="C83" s="291"/>
      <c r="D83" s="291"/>
      <c r="E83" s="291"/>
      <c r="F83" s="291"/>
      <c r="G83" s="291"/>
      <c r="H83" s="291"/>
      <c r="I83" s="291"/>
    </row>
    <row r="84" spans="1:9" ht="16.5" customHeight="1" x14ac:dyDescent="0.25">
      <c r="A84" s="82" t="s">
        <v>37</v>
      </c>
      <c r="B84" s="5" t="s">
        <v>18</v>
      </c>
      <c r="C84" s="5" t="s">
        <v>175</v>
      </c>
      <c r="D84" s="5">
        <f>SUM(E84:I84)</f>
        <v>1190000</v>
      </c>
      <c r="E84" s="5">
        <f>SUM('sav.f. 3 '!F82)</f>
        <v>1109300</v>
      </c>
      <c r="F84" s="5">
        <v>76700</v>
      </c>
      <c r="G84" s="5"/>
      <c r="H84" s="5"/>
      <c r="I84" s="69">
        <f>SUM(Spec.7!G26)</f>
        <v>4000</v>
      </c>
    </row>
    <row r="85" spans="1:9" ht="16.5" customHeight="1" x14ac:dyDescent="0.25">
      <c r="A85" s="82" t="s">
        <v>38</v>
      </c>
      <c r="B85" s="5" t="s">
        <v>19</v>
      </c>
      <c r="C85" s="5" t="s">
        <v>6</v>
      </c>
      <c r="D85" s="5">
        <f t="shared" ref="D85:D93" si="5">SUM(E85:I85)</f>
        <v>238450</v>
      </c>
      <c r="E85" s="5">
        <v>221050</v>
      </c>
      <c r="F85" s="5">
        <v>13900</v>
      </c>
      <c r="G85" s="5"/>
      <c r="H85" s="5">
        <v>3500</v>
      </c>
      <c r="I85" s="69"/>
    </row>
    <row r="86" spans="1:9" ht="16.5" customHeight="1" x14ac:dyDescent="0.25">
      <c r="A86" s="82" t="s">
        <v>39</v>
      </c>
      <c r="B86" s="5" t="s">
        <v>8</v>
      </c>
      <c r="C86" s="5" t="s">
        <v>158</v>
      </c>
      <c r="D86" s="45">
        <f t="shared" si="5"/>
        <v>1190500</v>
      </c>
      <c r="E86" s="45">
        <v>1077210</v>
      </c>
      <c r="F86" s="45">
        <v>74400</v>
      </c>
      <c r="G86" s="45"/>
      <c r="H86" s="45">
        <v>38890</v>
      </c>
      <c r="I86" s="118"/>
    </row>
    <row r="87" spans="1:9" ht="16.5" customHeight="1" x14ac:dyDescent="0.25">
      <c r="A87" s="82" t="s">
        <v>40</v>
      </c>
      <c r="B87" s="5" t="s">
        <v>8</v>
      </c>
      <c r="C87" s="5" t="s">
        <v>456</v>
      </c>
      <c r="D87" s="45">
        <f t="shared" si="5"/>
        <v>800000</v>
      </c>
      <c r="E87" s="45"/>
      <c r="F87" s="45">
        <f>SUM('Valst.f. 4'!I56)</f>
        <v>800000</v>
      </c>
      <c r="G87" s="45"/>
      <c r="H87" s="45"/>
      <c r="I87" s="118"/>
    </row>
    <row r="88" spans="1:9" ht="16.5" customHeight="1" x14ac:dyDescent="0.25">
      <c r="A88" s="82" t="s">
        <v>41</v>
      </c>
      <c r="B88" s="5" t="s">
        <v>8</v>
      </c>
      <c r="C88" s="65" t="s">
        <v>26</v>
      </c>
      <c r="D88" s="45">
        <f t="shared" si="5"/>
        <v>15000</v>
      </c>
      <c r="E88" s="45">
        <f>SUM('sav.f. 3 '!F79)</f>
        <v>15000</v>
      </c>
      <c r="F88" s="45"/>
      <c r="G88" s="45"/>
      <c r="H88" s="45"/>
      <c r="I88" s="118"/>
    </row>
    <row r="89" spans="1:9" ht="16.5" customHeight="1" x14ac:dyDescent="0.25">
      <c r="A89" s="82" t="s">
        <v>42</v>
      </c>
      <c r="B89" s="5" t="s">
        <v>8</v>
      </c>
      <c r="C89" s="55" t="s">
        <v>392</v>
      </c>
      <c r="D89" s="45">
        <f t="shared" si="5"/>
        <v>27000</v>
      </c>
      <c r="E89" s="45">
        <f>SUM('sav.f. 3 '!F81)</f>
        <v>27000</v>
      </c>
      <c r="F89" s="45"/>
      <c r="G89" s="45"/>
      <c r="H89" s="45"/>
      <c r="I89" s="118"/>
    </row>
    <row r="90" spans="1:9" ht="16.5" customHeight="1" x14ac:dyDescent="0.25">
      <c r="A90" s="82" t="s">
        <v>43</v>
      </c>
      <c r="B90" s="55" t="s">
        <v>8</v>
      </c>
      <c r="C90" s="65" t="s">
        <v>425</v>
      </c>
      <c r="D90" s="45">
        <f t="shared" si="5"/>
        <v>37000</v>
      </c>
      <c r="E90" s="45">
        <f>SUM('sav.f. 3 '!G80)</f>
        <v>37000</v>
      </c>
      <c r="F90" s="45"/>
      <c r="G90" s="45"/>
      <c r="H90" s="45"/>
      <c r="I90" s="118"/>
    </row>
    <row r="91" spans="1:9" ht="16.5" customHeight="1" x14ac:dyDescent="0.25">
      <c r="A91" s="82" t="s">
        <v>44</v>
      </c>
      <c r="B91" s="55" t="s">
        <v>8</v>
      </c>
      <c r="C91" s="5" t="s">
        <v>483</v>
      </c>
      <c r="D91" s="45">
        <f t="shared" si="5"/>
        <v>320726</v>
      </c>
      <c r="E91" s="45">
        <f>SUM('sav.f. 3 '!G105)</f>
        <v>320726</v>
      </c>
      <c r="F91" s="45"/>
      <c r="G91" s="45"/>
      <c r="H91" s="45"/>
      <c r="I91" s="118"/>
    </row>
    <row r="92" spans="1:9" ht="16.5" customHeight="1" x14ac:dyDescent="0.25">
      <c r="A92" s="82" t="s">
        <v>45</v>
      </c>
      <c r="B92" s="55" t="s">
        <v>24</v>
      </c>
      <c r="C92" s="5" t="s">
        <v>31</v>
      </c>
      <c r="D92" s="45">
        <f t="shared" si="5"/>
        <v>53100</v>
      </c>
      <c r="E92" s="45">
        <f>SUM('sav.f. 3 '!F84)</f>
        <v>3100</v>
      </c>
      <c r="F92" s="45"/>
      <c r="G92" s="45"/>
      <c r="H92" s="45"/>
      <c r="I92" s="118">
        <f>SUM(Spec.7!G23)</f>
        <v>50000</v>
      </c>
    </row>
    <row r="93" spans="1:9" ht="16.5" customHeight="1" x14ac:dyDescent="0.25">
      <c r="A93" s="82" t="s">
        <v>46</v>
      </c>
      <c r="B93" s="55" t="s">
        <v>24</v>
      </c>
      <c r="C93" s="5" t="s">
        <v>222</v>
      </c>
      <c r="D93" s="45">
        <f t="shared" si="5"/>
        <v>528574</v>
      </c>
      <c r="E93" s="45">
        <v>424474</v>
      </c>
      <c r="F93" s="45"/>
      <c r="G93" s="45">
        <f>SUM('MK 5'!F29)</f>
        <v>84100</v>
      </c>
      <c r="H93" s="45">
        <v>20000</v>
      </c>
      <c r="I93" s="118"/>
    </row>
    <row r="94" spans="1:9" ht="15" customHeight="1" x14ac:dyDescent="0.25">
      <c r="A94" s="290" t="s">
        <v>202</v>
      </c>
      <c r="B94" s="290"/>
      <c r="C94" s="290"/>
      <c r="D94" s="117">
        <f>SUM(E94:I94)</f>
        <v>4400350</v>
      </c>
      <c r="E94" s="124">
        <f>SUM(E84:E93)</f>
        <v>3234860</v>
      </c>
      <c r="F94" s="124">
        <f>SUM(F84:F93)</f>
        <v>965000</v>
      </c>
      <c r="G94" s="124">
        <f>SUM(G84:G93)</f>
        <v>84100</v>
      </c>
      <c r="H94" s="124">
        <f>SUM(H84:H93)</f>
        <v>62390</v>
      </c>
      <c r="I94" s="124">
        <f>SUM(I84:I93)</f>
        <v>54000</v>
      </c>
    </row>
    <row r="95" spans="1:9" ht="18" customHeight="1" x14ac:dyDescent="0.25">
      <c r="A95" s="291" t="s">
        <v>220</v>
      </c>
      <c r="B95" s="291"/>
      <c r="C95" s="291"/>
      <c r="D95" s="291"/>
      <c r="E95" s="291"/>
      <c r="F95" s="291"/>
      <c r="G95" s="291"/>
      <c r="H95" s="291"/>
      <c r="I95" s="291"/>
    </row>
    <row r="96" spans="1:9" ht="18" customHeight="1" x14ac:dyDescent="0.25">
      <c r="A96" s="82" t="s">
        <v>37</v>
      </c>
      <c r="B96" s="5" t="s">
        <v>8</v>
      </c>
      <c r="C96" s="65" t="s">
        <v>400</v>
      </c>
      <c r="D96" s="116">
        <f>SUM(E96:I96)</f>
        <v>84252</v>
      </c>
      <c r="E96" s="34">
        <v>75906</v>
      </c>
      <c r="F96" s="119"/>
      <c r="G96" s="119"/>
      <c r="H96" s="119">
        <v>8346</v>
      </c>
      <c r="I96" s="69"/>
    </row>
    <row r="97" spans="1:9" ht="18" customHeight="1" x14ac:dyDescent="0.25">
      <c r="A97" s="82" t="s">
        <v>38</v>
      </c>
      <c r="B97" s="5" t="s">
        <v>8</v>
      </c>
      <c r="C97" s="5" t="s">
        <v>339</v>
      </c>
      <c r="D97" s="34">
        <f>SUM(E97:I97)</f>
        <v>23400</v>
      </c>
      <c r="E97" s="34">
        <f>SUM('sav.f. 3 '!F87)</f>
        <v>23400</v>
      </c>
      <c r="F97" s="9"/>
      <c r="G97" s="9"/>
      <c r="H97" s="9"/>
      <c r="I97" s="69"/>
    </row>
    <row r="98" spans="1:9" ht="33" customHeight="1" x14ac:dyDescent="0.25">
      <c r="A98" s="82" t="s">
        <v>39</v>
      </c>
      <c r="B98" s="5" t="s">
        <v>8</v>
      </c>
      <c r="C98" s="169" t="s">
        <v>340</v>
      </c>
      <c r="D98" s="34">
        <f>SUM(E98:I98)</f>
        <v>25000</v>
      </c>
      <c r="E98" s="34">
        <f>SUM('sav.f. 3 '!F112)</f>
        <v>25000</v>
      </c>
      <c r="F98" s="9"/>
      <c r="G98" s="9"/>
      <c r="H98" s="9"/>
      <c r="I98" s="69"/>
    </row>
    <row r="99" spans="1:9" ht="18" customHeight="1" x14ac:dyDescent="0.25">
      <c r="A99" s="82" t="s">
        <v>40</v>
      </c>
      <c r="B99" s="5" t="s">
        <v>8</v>
      </c>
      <c r="C99" s="5" t="s">
        <v>338</v>
      </c>
      <c r="D99" s="34">
        <f>SUM(E99:I99)</f>
        <v>42000</v>
      </c>
      <c r="E99" s="34">
        <v>30000</v>
      </c>
      <c r="F99" s="9"/>
      <c r="G99" s="9"/>
      <c r="H99" s="9">
        <v>12000</v>
      </c>
      <c r="I99" s="69"/>
    </row>
    <row r="100" spans="1:9" ht="18.75" customHeight="1" x14ac:dyDescent="0.25">
      <c r="A100" s="289" t="s">
        <v>202</v>
      </c>
      <c r="B100" s="289"/>
      <c r="C100" s="289"/>
      <c r="D100" s="132">
        <f>SUM(E100:I100)</f>
        <v>174652</v>
      </c>
      <c r="E100" s="133">
        <f>SUM(E96:E99)</f>
        <v>154306</v>
      </c>
      <c r="F100" s="133">
        <f>SUM(F96:F97)</f>
        <v>0</v>
      </c>
      <c r="G100" s="133">
        <f>SUM(G96:G97)</f>
        <v>0</v>
      </c>
      <c r="H100" s="133">
        <f>SUM(H96:H99)</f>
        <v>20346</v>
      </c>
      <c r="I100" s="100">
        <f>SUM(I96:I97)</f>
        <v>0</v>
      </c>
    </row>
    <row r="101" spans="1:9" ht="19.5" customHeight="1" x14ac:dyDescent="0.25">
      <c r="A101" s="291" t="s">
        <v>221</v>
      </c>
      <c r="B101" s="291"/>
      <c r="C101" s="291"/>
      <c r="D101" s="291"/>
      <c r="E101" s="291"/>
      <c r="F101" s="291"/>
      <c r="G101" s="291"/>
      <c r="H101" s="291"/>
      <c r="I101" s="291"/>
    </row>
    <row r="102" spans="1:9" ht="32.25" customHeight="1" x14ac:dyDescent="0.25">
      <c r="A102" s="83" t="s">
        <v>37</v>
      </c>
      <c r="B102" s="96" t="s">
        <v>369</v>
      </c>
      <c r="C102" s="9" t="s">
        <v>185</v>
      </c>
      <c r="D102" s="9">
        <f>SUM(E102:I102)</f>
        <v>1592096</v>
      </c>
      <c r="E102" s="9">
        <v>743300</v>
      </c>
      <c r="F102" s="9"/>
      <c r="G102" s="9">
        <f>SUM('MK 5'!F13)</f>
        <v>738680</v>
      </c>
      <c r="H102" s="9">
        <v>35137</v>
      </c>
      <c r="I102" s="97">
        <f>SUM(Spec.7!G13)</f>
        <v>74979</v>
      </c>
    </row>
    <row r="103" spans="1:9" ht="32.25" customHeight="1" x14ac:dyDescent="0.25">
      <c r="A103" s="82" t="s">
        <v>38</v>
      </c>
      <c r="B103" s="55" t="s">
        <v>370</v>
      </c>
      <c r="C103" s="5" t="s">
        <v>185</v>
      </c>
      <c r="D103" s="45">
        <f t="shared" ref="D103:D120" si="6">SUM(E103:I103)</f>
        <v>1510956</v>
      </c>
      <c r="E103" s="45">
        <v>637900</v>
      </c>
      <c r="F103" s="45"/>
      <c r="G103" s="45">
        <f>SUM('MK 5'!F14)</f>
        <v>776910</v>
      </c>
      <c r="H103" s="45">
        <v>21146</v>
      </c>
      <c r="I103" s="118">
        <f>SUM(Spec.7!G14)</f>
        <v>75000</v>
      </c>
    </row>
    <row r="104" spans="1:9" ht="34.5" customHeight="1" x14ac:dyDescent="0.25">
      <c r="A104" s="82" t="s">
        <v>39</v>
      </c>
      <c r="B104" s="55" t="s">
        <v>371</v>
      </c>
      <c r="C104" s="5" t="s">
        <v>186</v>
      </c>
      <c r="D104" s="45">
        <f t="shared" si="6"/>
        <v>230600</v>
      </c>
      <c r="E104" s="45">
        <f>SUM('sav.f. 3 '!F90)</f>
        <v>117500</v>
      </c>
      <c r="F104" s="45"/>
      <c r="G104" s="45">
        <f>SUM('MK 5'!F15)</f>
        <v>100100</v>
      </c>
      <c r="H104" s="45"/>
      <c r="I104" s="118">
        <f>SUM(Spec.7!G11)</f>
        <v>13000</v>
      </c>
    </row>
    <row r="105" spans="1:9" ht="31.5" customHeight="1" x14ac:dyDescent="0.25">
      <c r="A105" s="82" t="s">
        <v>40</v>
      </c>
      <c r="B105" s="55" t="s">
        <v>372</v>
      </c>
      <c r="C105" s="5" t="s">
        <v>186</v>
      </c>
      <c r="D105" s="45">
        <f t="shared" si="6"/>
        <v>630778</v>
      </c>
      <c r="E105" s="45">
        <v>324300</v>
      </c>
      <c r="F105" s="45"/>
      <c r="G105" s="45">
        <f>SUM('MK 5'!F16)</f>
        <v>269500</v>
      </c>
      <c r="H105" s="45">
        <v>11978</v>
      </c>
      <c r="I105" s="118">
        <f>SUM(Spec.7!G12)</f>
        <v>25000</v>
      </c>
    </row>
    <row r="106" spans="1:9" ht="15.75" customHeight="1" x14ac:dyDescent="0.25">
      <c r="A106" s="82" t="s">
        <v>41</v>
      </c>
      <c r="B106" s="55" t="s">
        <v>373</v>
      </c>
      <c r="C106" s="73" t="s">
        <v>187</v>
      </c>
      <c r="D106" s="116">
        <f t="shared" si="6"/>
        <v>1397690</v>
      </c>
      <c r="E106" s="119">
        <f>SUM('sav.f. 3 '!F92)</f>
        <v>896600</v>
      </c>
      <c r="F106" s="45"/>
      <c r="G106" s="119">
        <f>SUM('MK 5'!F17)</f>
        <v>501090</v>
      </c>
      <c r="H106" s="119"/>
      <c r="I106" s="118"/>
    </row>
    <row r="107" spans="1:9" ht="14.25" customHeight="1" x14ac:dyDescent="0.25">
      <c r="A107" s="82" t="s">
        <v>42</v>
      </c>
      <c r="B107" s="55" t="s">
        <v>374</v>
      </c>
      <c r="C107" s="73" t="s">
        <v>187</v>
      </c>
      <c r="D107" s="116">
        <f t="shared" si="6"/>
        <v>567180</v>
      </c>
      <c r="E107" s="119">
        <f>SUM('sav.f. 3 '!F93)</f>
        <v>112700</v>
      </c>
      <c r="F107" s="45"/>
      <c r="G107" s="119">
        <f>SUM('MK 5'!F18)</f>
        <v>454480</v>
      </c>
      <c r="H107" s="119"/>
      <c r="I107" s="118"/>
    </row>
    <row r="108" spans="1:9" ht="30" customHeight="1" x14ac:dyDescent="0.25">
      <c r="A108" s="82" t="s">
        <v>43</v>
      </c>
      <c r="B108" s="55" t="s">
        <v>375</v>
      </c>
      <c r="C108" s="73" t="s">
        <v>187</v>
      </c>
      <c r="D108" s="116">
        <f t="shared" si="6"/>
        <v>988378</v>
      </c>
      <c r="E108" s="119">
        <v>236400</v>
      </c>
      <c r="F108" s="45"/>
      <c r="G108" s="119">
        <f>SUM('MK 5'!F19)</f>
        <v>731060</v>
      </c>
      <c r="H108" s="119">
        <v>20918</v>
      </c>
      <c r="I108" s="118"/>
    </row>
    <row r="109" spans="1:9" ht="16.5" customHeight="1" x14ac:dyDescent="0.25">
      <c r="A109" s="82" t="s">
        <v>44</v>
      </c>
      <c r="B109" s="74" t="s">
        <v>376</v>
      </c>
      <c r="C109" s="73" t="s">
        <v>187</v>
      </c>
      <c r="D109" s="116">
        <f t="shared" si="6"/>
        <v>1025497</v>
      </c>
      <c r="E109" s="119">
        <f>SUM('sav.f. 3 '!F95)</f>
        <v>368287</v>
      </c>
      <c r="F109" s="45"/>
      <c r="G109" s="119">
        <f>SUM('MK 5'!F20)</f>
        <v>648210</v>
      </c>
      <c r="H109" s="119"/>
      <c r="I109" s="118">
        <f>SUM(Spec.7!G21)</f>
        <v>9000</v>
      </c>
    </row>
    <row r="110" spans="1:9" ht="16.5" customHeight="1" x14ac:dyDescent="0.25">
      <c r="A110" s="82" t="s">
        <v>45</v>
      </c>
      <c r="B110" s="74" t="s">
        <v>377</v>
      </c>
      <c r="C110" s="73" t="s">
        <v>187</v>
      </c>
      <c r="D110" s="116">
        <f t="shared" si="6"/>
        <v>732159</v>
      </c>
      <c r="E110" s="119">
        <v>191200</v>
      </c>
      <c r="F110" s="45"/>
      <c r="G110" s="119">
        <f>SUM('MK 5'!F21)</f>
        <v>537750</v>
      </c>
      <c r="H110" s="119">
        <v>3009</v>
      </c>
      <c r="I110" s="118">
        <f>SUM(Spec.7!G20)</f>
        <v>200</v>
      </c>
    </row>
    <row r="111" spans="1:9" ht="16.5" customHeight="1" x14ac:dyDescent="0.25">
      <c r="A111" s="82" t="s">
        <v>46</v>
      </c>
      <c r="B111" s="74" t="s">
        <v>378</v>
      </c>
      <c r="C111" s="73" t="s">
        <v>187</v>
      </c>
      <c r="D111" s="116">
        <f t="shared" si="6"/>
        <v>636670</v>
      </c>
      <c r="E111" s="119">
        <v>120400</v>
      </c>
      <c r="F111" s="45"/>
      <c r="G111" s="119">
        <f>SUM('MK 5'!F22)</f>
        <v>513270</v>
      </c>
      <c r="H111" s="119">
        <v>3000</v>
      </c>
      <c r="I111" s="118"/>
    </row>
    <row r="112" spans="1:9" ht="16.5" customHeight="1" x14ac:dyDescent="0.25">
      <c r="A112" s="82" t="s">
        <v>47</v>
      </c>
      <c r="B112" s="5" t="s">
        <v>379</v>
      </c>
      <c r="C112" s="73" t="s">
        <v>187</v>
      </c>
      <c r="D112" s="116">
        <f t="shared" si="6"/>
        <v>1183240</v>
      </c>
      <c r="E112" s="119">
        <f>SUM('sav.f. 3 '!F98)</f>
        <v>281000</v>
      </c>
      <c r="F112" s="45"/>
      <c r="G112" s="119">
        <f>SUM('MK 5'!F23)</f>
        <v>901840</v>
      </c>
      <c r="H112" s="119"/>
      <c r="I112" s="118">
        <f>SUM(Spec.7!G18)</f>
        <v>400</v>
      </c>
    </row>
    <row r="113" spans="1:9" ht="16.5" customHeight="1" x14ac:dyDescent="0.25">
      <c r="A113" s="82" t="s">
        <v>48</v>
      </c>
      <c r="B113" s="5" t="s">
        <v>380</v>
      </c>
      <c r="C113" s="73" t="s">
        <v>187</v>
      </c>
      <c r="D113" s="116">
        <f t="shared" si="6"/>
        <v>1252351</v>
      </c>
      <c r="E113" s="119">
        <v>384850</v>
      </c>
      <c r="F113" s="45"/>
      <c r="G113" s="119">
        <f>SUM('MK 5'!F24)</f>
        <v>855860</v>
      </c>
      <c r="H113" s="119">
        <v>11041</v>
      </c>
      <c r="I113" s="118">
        <f>SUM(Spec.7!G19)</f>
        <v>600</v>
      </c>
    </row>
    <row r="114" spans="1:9" ht="16.5" customHeight="1" x14ac:dyDescent="0.25">
      <c r="A114" s="82" t="s">
        <v>49</v>
      </c>
      <c r="B114" s="5" t="s">
        <v>324</v>
      </c>
      <c r="C114" s="5" t="s">
        <v>187</v>
      </c>
      <c r="D114" s="45">
        <f t="shared" si="6"/>
        <v>2315213</v>
      </c>
      <c r="E114" s="45">
        <v>691560</v>
      </c>
      <c r="F114" s="45"/>
      <c r="G114" s="45">
        <f>SUM('MK 5'!F25)</f>
        <v>1607540</v>
      </c>
      <c r="H114" s="45">
        <v>14513</v>
      </c>
      <c r="I114" s="118">
        <f>SUM(Spec.7!G16)</f>
        <v>1600</v>
      </c>
    </row>
    <row r="115" spans="1:9" ht="30.75" customHeight="1" x14ac:dyDescent="0.25">
      <c r="A115" s="82" t="s">
        <v>50</v>
      </c>
      <c r="B115" s="55" t="s">
        <v>382</v>
      </c>
      <c r="C115" s="5" t="s">
        <v>187</v>
      </c>
      <c r="D115" s="45">
        <f t="shared" si="6"/>
        <v>2309000</v>
      </c>
      <c r="E115" s="45">
        <v>563520</v>
      </c>
      <c r="F115" s="45"/>
      <c r="G115" s="45">
        <f>SUM('MK 5'!F26)</f>
        <v>1470580</v>
      </c>
      <c r="H115" s="45">
        <v>272700</v>
      </c>
      <c r="I115" s="118">
        <f>SUM(Spec.7!G17)</f>
        <v>2200</v>
      </c>
    </row>
    <row r="116" spans="1:9" ht="32.25" customHeight="1" x14ac:dyDescent="0.25">
      <c r="A116" s="82" t="s">
        <v>51</v>
      </c>
      <c r="B116" s="55" t="s">
        <v>381</v>
      </c>
      <c r="C116" s="58" t="s">
        <v>187</v>
      </c>
      <c r="D116" s="115">
        <f t="shared" si="6"/>
        <v>4581624</v>
      </c>
      <c r="E116" s="45">
        <v>783400</v>
      </c>
      <c r="F116" s="45">
        <f>SUM('Valst.f. 4'!F63,'Valst.f. 4'!F62)</f>
        <v>436500</v>
      </c>
      <c r="G116" s="45">
        <f>SUM('MK 5'!F27)</f>
        <v>3290880</v>
      </c>
      <c r="H116" s="45">
        <v>47844</v>
      </c>
      <c r="I116" s="118">
        <f>SUM(Spec.7!G15)</f>
        <v>23000</v>
      </c>
    </row>
    <row r="117" spans="1:9" ht="15.75" customHeight="1" x14ac:dyDescent="0.25">
      <c r="A117" s="82" t="s">
        <v>52</v>
      </c>
      <c r="B117" s="55" t="s">
        <v>28</v>
      </c>
      <c r="C117" s="70" t="s">
        <v>173</v>
      </c>
      <c r="D117" s="115">
        <f t="shared" si="6"/>
        <v>1118552</v>
      </c>
      <c r="E117" s="119">
        <f>SUM('sav.f. 3 '!F103)</f>
        <v>937640</v>
      </c>
      <c r="F117" s="45"/>
      <c r="G117" s="119">
        <f>SUM('MK 5'!F28)</f>
        <v>67370</v>
      </c>
      <c r="H117" s="119"/>
      <c r="I117" s="118">
        <f>SUM(Spec.7!G22)</f>
        <v>113542</v>
      </c>
    </row>
    <row r="118" spans="1:9" ht="17.25" customHeight="1" x14ac:dyDescent="0.25">
      <c r="A118" s="82" t="s">
        <v>53</v>
      </c>
      <c r="B118" s="15" t="s">
        <v>8</v>
      </c>
      <c r="C118" s="76" t="s">
        <v>73</v>
      </c>
      <c r="D118" s="116">
        <f t="shared" si="6"/>
        <v>272200</v>
      </c>
      <c r="E118" s="45">
        <f>SUM('sav.f. 3 '!F106)</f>
        <v>154500</v>
      </c>
      <c r="F118" s="119"/>
      <c r="G118" s="45">
        <f>SUM('MK 5'!G30)</f>
        <v>117700</v>
      </c>
      <c r="H118" s="45"/>
      <c r="I118" s="118"/>
    </row>
    <row r="119" spans="1:9" ht="18" customHeight="1" x14ac:dyDescent="0.25">
      <c r="A119" s="82" t="s">
        <v>54</v>
      </c>
      <c r="B119" s="5" t="s">
        <v>8</v>
      </c>
      <c r="C119" s="70" t="s">
        <v>223</v>
      </c>
      <c r="D119" s="115">
        <f t="shared" si="6"/>
        <v>440000</v>
      </c>
      <c r="E119" s="45">
        <f>SUM('sav.f. 3 '!F107)</f>
        <v>440000</v>
      </c>
      <c r="F119" s="45"/>
      <c r="G119" s="45"/>
      <c r="H119" s="45"/>
      <c r="I119" s="118"/>
    </row>
    <row r="120" spans="1:9" ht="33" customHeight="1" x14ac:dyDescent="0.25">
      <c r="A120" s="82" t="s">
        <v>55</v>
      </c>
      <c r="B120" s="5" t="s">
        <v>8</v>
      </c>
      <c r="C120" s="55" t="s">
        <v>172</v>
      </c>
      <c r="D120" s="45">
        <f t="shared" si="6"/>
        <v>10000</v>
      </c>
      <c r="E120" s="45">
        <f>SUM('sav.f. 3 '!F109)</f>
        <v>10000</v>
      </c>
      <c r="F120" s="45"/>
      <c r="G120" s="45"/>
      <c r="H120" s="45"/>
      <c r="I120" s="118"/>
    </row>
    <row r="121" spans="1:9" ht="18" customHeight="1" x14ac:dyDescent="0.25">
      <c r="A121" s="82" t="s">
        <v>56</v>
      </c>
      <c r="B121" s="15" t="s">
        <v>8</v>
      </c>
      <c r="C121" s="67" t="s">
        <v>115</v>
      </c>
      <c r="D121" s="116">
        <f>SUM(E121:I121)</f>
        <v>15000</v>
      </c>
      <c r="E121" s="45">
        <f>SUM('sav.f. 3 '!F108)</f>
        <v>15000</v>
      </c>
      <c r="F121" s="45"/>
      <c r="G121" s="45"/>
      <c r="H121" s="45"/>
      <c r="I121" s="118"/>
    </row>
    <row r="122" spans="1:9" ht="18" customHeight="1" x14ac:dyDescent="0.25">
      <c r="A122" s="82" t="s">
        <v>57</v>
      </c>
      <c r="B122" s="15" t="s">
        <v>8</v>
      </c>
      <c r="C122" s="65" t="s">
        <v>357</v>
      </c>
      <c r="D122" s="116">
        <f>SUM(E122:I122)</f>
        <v>7000</v>
      </c>
      <c r="E122" s="45">
        <f>SUM('sav.f. 3 '!G27)</f>
        <v>7000</v>
      </c>
      <c r="F122" s="45"/>
      <c r="G122" s="45"/>
      <c r="H122" s="45"/>
      <c r="I122" s="118"/>
    </row>
    <row r="123" spans="1:9" ht="18" customHeight="1" x14ac:dyDescent="0.25">
      <c r="A123" s="82" t="s">
        <v>58</v>
      </c>
      <c r="B123" s="15" t="s">
        <v>8</v>
      </c>
      <c r="C123" s="67" t="s">
        <v>187</v>
      </c>
      <c r="D123" s="116">
        <f>SUM(E123:I123)</f>
        <v>110080</v>
      </c>
      <c r="E123" s="45"/>
      <c r="F123" s="45"/>
      <c r="G123" s="45">
        <f>SUM('MK 5'!F31)</f>
        <v>110080</v>
      </c>
      <c r="H123" s="45"/>
      <c r="I123" s="118"/>
    </row>
    <row r="124" spans="1:9" ht="18" customHeight="1" x14ac:dyDescent="0.25">
      <c r="A124" s="290" t="s">
        <v>202</v>
      </c>
      <c r="B124" s="290"/>
      <c r="C124" s="290"/>
      <c r="D124" s="117">
        <f>SUM(E124:I124)</f>
        <v>22926264</v>
      </c>
      <c r="E124" s="117">
        <f>SUM(E102:E123)</f>
        <v>8017057</v>
      </c>
      <c r="F124" s="117">
        <f>SUM(F102:F123)</f>
        <v>436500</v>
      </c>
      <c r="G124" s="117">
        <f>SUM(G102:G123)</f>
        <v>13692900</v>
      </c>
      <c r="H124" s="117">
        <f>SUM(H102:H123)</f>
        <v>441286</v>
      </c>
      <c r="I124" s="117">
        <f>SUM(I102:I123)</f>
        <v>338521</v>
      </c>
    </row>
    <row r="125" spans="1:9" ht="27" customHeight="1" x14ac:dyDescent="0.25">
      <c r="A125" s="291" t="s">
        <v>224</v>
      </c>
      <c r="B125" s="291"/>
      <c r="C125" s="291"/>
      <c r="D125" s="291"/>
      <c r="E125" s="291"/>
      <c r="F125" s="291"/>
      <c r="G125" s="291"/>
      <c r="H125" s="291"/>
      <c r="I125" s="291"/>
    </row>
    <row r="126" spans="1:9" ht="34.5" customHeight="1" x14ac:dyDescent="0.25">
      <c r="A126" s="82" t="s">
        <v>37</v>
      </c>
      <c r="B126" s="110" t="s">
        <v>117</v>
      </c>
      <c r="C126" s="76" t="s">
        <v>225</v>
      </c>
      <c r="D126" s="34">
        <f>SUM(E126:I126)</f>
        <v>392212</v>
      </c>
      <c r="E126" s="9">
        <v>216000</v>
      </c>
      <c r="F126" s="9">
        <f>SUM('Valst.f. 4'!F51-F50)</f>
        <v>78000</v>
      </c>
      <c r="G126" s="34"/>
      <c r="H126" s="34">
        <v>10212</v>
      </c>
      <c r="I126" s="69">
        <f>SUM(Spec.7!G24)</f>
        <v>88000</v>
      </c>
    </row>
    <row r="127" spans="1:9" ht="18.75" customHeight="1" x14ac:dyDescent="0.25">
      <c r="A127" s="121" t="s">
        <v>38</v>
      </c>
      <c r="B127" s="5" t="s">
        <v>8</v>
      </c>
      <c r="C127" s="70" t="s">
        <v>171</v>
      </c>
      <c r="D127" s="48">
        <f t="shared" ref="D127:D147" si="7">SUM(E127:I127)</f>
        <v>1788012</v>
      </c>
      <c r="E127" s="5">
        <f>684877</f>
        <v>684877</v>
      </c>
      <c r="F127" s="5">
        <f>SUM('Valst.f. 4'!G52,'Valst.f. 4'!G54,-'Valst.f. 4'!G53)</f>
        <v>1018200</v>
      </c>
      <c r="G127" s="48"/>
      <c r="H127" s="48">
        <f>75000+9935</f>
        <v>84935</v>
      </c>
      <c r="I127" s="69"/>
    </row>
    <row r="128" spans="1:9" ht="18.75" customHeight="1" x14ac:dyDescent="0.25">
      <c r="A128" s="82" t="s">
        <v>39</v>
      </c>
      <c r="B128" s="5" t="s">
        <v>8</v>
      </c>
      <c r="C128" s="5" t="s">
        <v>118</v>
      </c>
      <c r="D128" s="5">
        <f t="shared" si="7"/>
        <v>4400</v>
      </c>
      <c r="E128" s="5">
        <v>4000</v>
      </c>
      <c r="F128" s="5"/>
      <c r="G128" s="5"/>
      <c r="H128" s="5">
        <v>400</v>
      </c>
      <c r="I128" s="69"/>
    </row>
    <row r="129" spans="1:9" ht="18.75" customHeight="1" x14ac:dyDescent="0.25">
      <c r="A129" s="82" t="s">
        <v>40</v>
      </c>
      <c r="B129" s="5" t="s">
        <v>8</v>
      </c>
      <c r="C129" s="70" t="s">
        <v>20</v>
      </c>
      <c r="D129" s="48">
        <f t="shared" si="7"/>
        <v>36000</v>
      </c>
      <c r="E129" s="5">
        <f>SUM('sav.f. 3 '!F117)</f>
        <v>36000</v>
      </c>
      <c r="F129" s="5"/>
      <c r="G129" s="48"/>
      <c r="H129" s="48"/>
      <c r="I129" s="69"/>
    </row>
    <row r="130" spans="1:9" ht="16.5" customHeight="1" x14ac:dyDescent="0.25">
      <c r="A130" s="82" t="s">
        <v>41</v>
      </c>
      <c r="B130" s="5" t="s">
        <v>8</v>
      </c>
      <c r="C130" s="5" t="s">
        <v>317</v>
      </c>
      <c r="D130" s="48">
        <f t="shared" si="7"/>
        <v>8009306</v>
      </c>
      <c r="E130" s="48">
        <f>223198</f>
        <v>223198</v>
      </c>
      <c r="F130" s="48">
        <f>SUM('Valst.f. 4'!F31:F32,'Valst.f. 4'!F61)</f>
        <v>1178380</v>
      </c>
      <c r="G130" s="48"/>
      <c r="H130" s="48">
        <f>7491000-883300+28</f>
        <v>6607728</v>
      </c>
      <c r="I130" s="69"/>
    </row>
    <row r="131" spans="1:9" ht="16.5" customHeight="1" x14ac:dyDescent="0.25">
      <c r="A131" s="82" t="s">
        <v>42</v>
      </c>
      <c r="B131" s="5" t="s">
        <v>8</v>
      </c>
      <c r="C131" s="5" t="s">
        <v>453</v>
      </c>
      <c r="D131" s="5">
        <f t="shared" si="7"/>
        <v>20313</v>
      </c>
      <c r="E131" s="5">
        <v>15000</v>
      </c>
      <c r="F131" s="5"/>
      <c r="G131" s="5"/>
      <c r="H131" s="5">
        <v>5313</v>
      </c>
      <c r="I131" s="69"/>
    </row>
    <row r="132" spans="1:9" ht="16.5" customHeight="1" x14ac:dyDescent="0.25">
      <c r="A132" s="82" t="s">
        <v>43</v>
      </c>
      <c r="B132" s="5" t="s">
        <v>8</v>
      </c>
      <c r="C132" s="5" t="s">
        <v>318</v>
      </c>
      <c r="D132" s="5">
        <f t="shared" si="7"/>
        <v>5000</v>
      </c>
      <c r="E132" s="5">
        <f>SUM('sav.f. 3 '!F122)</f>
        <v>5000</v>
      </c>
      <c r="F132" s="5"/>
      <c r="G132" s="5"/>
      <c r="H132" s="5"/>
      <c r="I132" s="69"/>
    </row>
    <row r="133" spans="1:9" ht="16.5" customHeight="1" x14ac:dyDescent="0.25">
      <c r="A133" s="82" t="s">
        <v>44</v>
      </c>
      <c r="B133" s="5" t="s">
        <v>8</v>
      </c>
      <c r="C133" s="111" t="s">
        <v>139</v>
      </c>
      <c r="D133" s="34">
        <f t="shared" si="7"/>
        <v>246120</v>
      </c>
      <c r="E133" s="112"/>
      <c r="F133" s="5">
        <f>SUM('Valst.f. 4'!F34,-'Valst.f. 4'!F35)</f>
        <v>246120</v>
      </c>
      <c r="G133" s="5"/>
      <c r="H133" s="5"/>
      <c r="I133" s="69"/>
    </row>
    <row r="134" spans="1:9" ht="31.5" customHeight="1" x14ac:dyDescent="0.25">
      <c r="A134" s="82" t="s">
        <v>45</v>
      </c>
      <c r="B134" s="72" t="s">
        <v>369</v>
      </c>
      <c r="C134" s="111" t="s">
        <v>139</v>
      </c>
      <c r="D134" s="34">
        <f t="shared" si="7"/>
        <v>42000</v>
      </c>
      <c r="E134" s="62"/>
      <c r="F134" s="5">
        <f>SUM('Valst.f. 4'!F36)</f>
        <v>42000</v>
      </c>
      <c r="G134" s="43"/>
      <c r="H134" s="43"/>
      <c r="I134" s="43"/>
    </row>
    <row r="135" spans="1:9" ht="31.5" customHeight="1" x14ac:dyDescent="0.25">
      <c r="A135" s="82" t="s">
        <v>46</v>
      </c>
      <c r="B135" s="55" t="s">
        <v>370</v>
      </c>
      <c r="C135" s="113" t="s">
        <v>139</v>
      </c>
      <c r="D135" s="34">
        <f t="shared" si="7"/>
        <v>53000</v>
      </c>
      <c r="E135" s="62"/>
      <c r="F135" s="5">
        <f>SUM('Valst.f. 4'!F37)</f>
        <v>53000</v>
      </c>
      <c r="G135" s="43"/>
      <c r="H135" s="43"/>
      <c r="I135" s="43"/>
    </row>
    <row r="136" spans="1:9" ht="30.75" customHeight="1" x14ac:dyDescent="0.25">
      <c r="A136" s="82" t="s">
        <v>47</v>
      </c>
      <c r="B136" s="55" t="s">
        <v>371</v>
      </c>
      <c r="C136" s="73" t="s">
        <v>139</v>
      </c>
      <c r="D136" s="34">
        <f t="shared" si="7"/>
        <v>2000</v>
      </c>
      <c r="E136" s="48"/>
      <c r="F136" s="5">
        <f>SUM('Valst.f. 4'!F38)</f>
        <v>2000</v>
      </c>
      <c r="G136" s="5"/>
      <c r="H136" s="5"/>
      <c r="I136" s="69"/>
    </row>
    <row r="137" spans="1:9" ht="31.5" customHeight="1" x14ac:dyDescent="0.25">
      <c r="A137" s="82" t="s">
        <v>48</v>
      </c>
      <c r="B137" s="55" t="s">
        <v>372</v>
      </c>
      <c r="C137" s="111" t="s">
        <v>139</v>
      </c>
      <c r="D137" s="34">
        <f t="shared" si="7"/>
        <v>7000</v>
      </c>
      <c r="E137" s="62"/>
      <c r="F137" s="5">
        <f>SUM('Valst.f. 4'!F39)</f>
        <v>7000</v>
      </c>
      <c r="G137" s="43"/>
      <c r="H137" s="43"/>
      <c r="I137" s="43"/>
    </row>
    <row r="138" spans="1:9" ht="17.25" customHeight="1" x14ac:dyDescent="0.25">
      <c r="A138" s="82" t="s">
        <v>49</v>
      </c>
      <c r="B138" s="55" t="s">
        <v>373</v>
      </c>
      <c r="C138" s="73" t="s">
        <v>139</v>
      </c>
      <c r="D138" s="34">
        <f t="shared" si="7"/>
        <v>36000</v>
      </c>
      <c r="E138" s="48"/>
      <c r="F138" s="5">
        <f>SUM('Valst.f. 4'!F40)</f>
        <v>36000</v>
      </c>
      <c r="G138" s="5"/>
      <c r="H138" s="5"/>
      <c r="I138" s="69"/>
    </row>
    <row r="139" spans="1:9" ht="17.25" customHeight="1" x14ac:dyDescent="0.25">
      <c r="A139" s="82" t="s">
        <v>50</v>
      </c>
      <c r="B139" s="55" t="s">
        <v>374</v>
      </c>
      <c r="C139" s="73" t="s">
        <v>139</v>
      </c>
      <c r="D139" s="34">
        <f t="shared" si="7"/>
        <v>26000</v>
      </c>
      <c r="E139" s="5"/>
      <c r="F139" s="5">
        <f>SUM('Valst.f. 4'!F41)</f>
        <v>26000</v>
      </c>
      <c r="G139" s="5"/>
      <c r="H139" s="5"/>
      <c r="I139" s="69"/>
    </row>
    <row r="140" spans="1:9" ht="34.5" customHeight="1" x14ac:dyDescent="0.25">
      <c r="A140" s="82" t="s">
        <v>51</v>
      </c>
      <c r="B140" s="55" t="s">
        <v>375</v>
      </c>
      <c r="C140" s="68" t="s">
        <v>139</v>
      </c>
      <c r="D140" s="5">
        <f t="shared" si="7"/>
        <v>50000</v>
      </c>
      <c r="E140" s="43"/>
      <c r="F140" s="5">
        <f>SUM('Valst.f. 4'!F42)</f>
        <v>50000</v>
      </c>
      <c r="G140" s="43"/>
      <c r="H140" s="43"/>
      <c r="I140" s="43"/>
    </row>
    <row r="141" spans="1:9" ht="17.25" customHeight="1" x14ac:dyDescent="0.25">
      <c r="A141" s="82" t="s">
        <v>52</v>
      </c>
      <c r="B141" s="74" t="s">
        <v>376</v>
      </c>
      <c r="C141" s="73" t="s">
        <v>139</v>
      </c>
      <c r="D141" s="34">
        <f t="shared" si="7"/>
        <v>35000</v>
      </c>
      <c r="E141" s="5"/>
      <c r="F141" s="5">
        <f>SUM('Valst.f. 4'!F43)</f>
        <v>35000</v>
      </c>
      <c r="G141" s="48"/>
      <c r="H141" s="48"/>
      <c r="I141" s="69"/>
    </row>
    <row r="142" spans="1:9" ht="17.25" customHeight="1" x14ac:dyDescent="0.25">
      <c r="A142" s="82" t="s">
        <v>53</v>
      </c>
      <c r="B142" s="74" t="s">
        <v>377</v>
      </c>
      <c r="C142" s="58" t="s">
        <v>139</v>
      </c>
      <c r="D142" s="34">
        <f t="shared" si="7"/>
        <v>43000</v>
      </c>
      <c r="E142" s="5"/>
      <c r="F142" s="5">
        <f>SUM('Valst.f. 4'!F44)</f>
        <v>43000</v>
      </c>
      <c r="G142" s="48"/>
      <c r="H142" s="48"/>
      <c r="I142" s="69"/>
    </row>
    <row r="143" spans="1:9" ht="17.25" customHeight="1" x14ac:dyDescent="0.25">
      <c r="A143" s="82" t="s">
        <v>54</v>
      </c>
      <c r="B143" s="74" t="s">
        <v>378</v>
      </c>
      <c r="C143" s="73" t="s">
        <v>139</v>
      </c>
      <c r="D143" s="48">
        <f t="shared" si="7"/>
        <v>38000</v>
      </c>
      <c r="E143" s="5"/>
      <c r="F143" s="5">
        <f>SUM('Valst.f. 4'!F45)</f>
        <v>38000</v>
      </c>
      <c r="G143" s="48"/>
      <c r="H143" s="48"/>
      <c r="I143" s="69"/>
    </row>
    <row r="144" spans="1:9" ht="17.25" customHeight="1" x14ac:dyDescent="0.25">
      <c r="A144" s="82" t="s">
        <v>55</v>
      </c>
      <c r="B144" s="5" t="s">
        <v>379</v>
      </c>
      <c r="C144" s="73" t="s">
        <v>139</v>
      </c>
      <c r="D144" s="5">
        <f t="shared" si="7"/>
        <v>67000</v>
      </c>
      <c r="E144" s="5"/>
      <c r="F144" s="5">
        <f>SUM('Valst.f. 4'!F46)</f>
        <v>67000</v>
      </c>
      <c r="G144" s="48"/>
      <c r="H144" s="48"/>
      <c r="I144" s="69"/>
    </row>
    <row r="145" spans="1:9" ht="17.25" customHeight="1" x14ac:dyDescent="0.25">
      <c r="A145" s="82" t="s">
        <v>56</v>
      </c>
      <c r="B145" s="5" t="s">
        <v>380</v>
      </c>
      <c r="C145" s="58" t="s">
        <v>139</v>
      </c>
      <c r="D145" s="48">
        <f t="shared" si="7"/>
        <v>61000</v>
      </c>
      <c r="E145" s="5"/>
      <c r="F145" s="5">
        <f>SUM('Valst.f. 4'!F47)</f>
        <v>61000</v>
      </c>
      <c r="G145" s="48"/>
      <c r="H145" s="48"/>
      <c r="I145" s="69"/>
    </row>
    <row r="146" spans="1:9" ht="17.25" customHeight="1" x14ac:dyDescent="0.25">
      <c r="A146" s="82" t="s">
        <v>57</v>
      </c>
      <c r="B146" s="5" t="s">
        <v>324</v>
      </c>
      <c r="C146" s="73" t="s">
        <v>139</v>
      </c>
      <c r="D146" s="34">
        <f t="shared" si="7"/>
        <v>98000</v>
      </c>
      <c r="E146" s="5"/>
      <c r="F146" s="5">
        <f>SUM('Valst.f. 4'!F48)</f>
        <v>98000</v>
      </c>
      <c r="G146" s="48"/>
      <c r="H146" s="48"/>
      <c r="I146" s="69"/>
    </row>
    <row r="147" spans="1:9" ht="32.25" customHeight="1" x14ac:dyDescent="0.25">
      <c r="A147" s="82" t="s">
        <v>58</v>
      </c>
      <c r="B147" s="55" t="s">
        <v>382</v>
      </c>
      <c r="C147" s="73" t="s">
        <v>139</v>
      </c>
      <c r="D147" s="34">
        <f t="shared" si="7"/>
        <v>120000</v>
      </c>
      <c r="E147" s="5"/>
      <c r="F147" s="5">
        <f>SUM('Valst.f. 4'!F49)</f>
        <v>120000</v>
      </c>
      <c r="G147" s="48"/>
      <c r="H147" s="48"/>
      <c r="I147" s="69"/>
    </row>
    <row r="148" spans="1:9" ht="33.75" customHeight="1" x14ac:dyDescent="0.25">
      <c r="A148" s="82" t="s">
        <v>59</v>
      </c>
      <c r="B148" s="55" t="s">
        <v>381</v>
      </c>
      <c r="C148" s="73" t="s">
        <v>139</v>
      </c>
      <c r="D148" s="34">
        <f>SUM(E148:I148)</f>
        <v>168000</v>
      </c>
      <c r="E148" s="5"/>
      <c r="F148" s="5">
        <f>SUM('Valst.f. 4'!F50)</f>
        <v>168000</v>
      </c>
      <c r="G148" s="48"/>
      <c r="H148" s="48"/>
      <c r="I148" s="69"/>
    </row>
    <row r="149" spans="1:9" ht="21" customHeight="1" x14ac:dyDescent="0.25">
      <c r="A149" s="290" t="s">
        <v>202</v>
      </c>
      <c r="B149" s="290"/>
      <c r="C149" s="290"/>
      <c r="D149" s="99">
        <f>SUM(E149:I149)</f>
        <v>11347363</v>
      </c>
      <c r="E149" s="99">
        <f>SUM(E126:E148)</f>
        <v>1184075</v>
      </c>
      <c r="F149" s="99">
        <f>SUM(F126:F148)</f>
        <v>3366700</v>
      </c>
      <c r="G149" s="99">
        <f>SUM(G126:G148)</f>
        <v>0</v>
      </c>
      <c r="H149" s="99">
        <f>SUM(H126:H148)</f>
        <v>6708588</v>
      </c>
      <c r="I149" s="50">
        <f>SUM(I126:I148)</f>
        <v>88000</v>
      </c>
    </row>
    <row r="150" spans="1:9" ht="24.75" customHeight="1" x14ac:dyDescent="0.25">
      <c r="A150" s="290" t="s">
        <v>228</v>
      </c>
      <c r="B150" s="290"/>
      <c r="C150" s="290"/>
      <c r="D150" s="128">
        <f>SUM(D21,D26,D30,D35,D38,D41,D44,D66,D69,D72,D76,D82,D94,D100,D124,D149)</f>
        <v>69971020</v>
      </c>
      <c r="E150" s="128">
        <f>SUM(E21,E26,E30,E35,E38,E44,E66,E69,E72,E76,E82,E94,E100,E124,E149)</f>
        <v>39495713</v>
      </c>
      <c r="F150" s="99">
        <f>SUM(F21+F26+F30+F35+F38+F41+F44+F66+F149,F94,F124,F82)</f>
        <v>8649786</v>
      </c>
      <c r="G150" s="99">
        <f>SUM(,G124,G94)</f>
        <v>13777000</v>
      </c>
      <c r="H150" s="128">
        <f>SUM(H149,H124,H100,H94,H82,H72,H66,H44,H21)</f>
        <v>7566000</v>
      </c>
      <c r="I150" s="117">
        <f>SUM(I149,I124,I94,Spec.7!G25)</f>
        <v>482521</v>
      </c>
    </row>
  </sheetData>
  <mergeCells count="49">
    <mergeCell ref="B6:I6"/>
    <mergeCell ref="A73:I73"/>
    <mergeCell ref="D2:G2"/>
    <mergeCell ref="A14:I14"/>
    <mergeCell ref="A66:C66"/>
    <mergeCell ref="A69:C69"/>
    <mergeCell ref="A72:C72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A27:I27"/>
    <mergeCell ref="B7:I7"/>
    <mergeCell ref="A30:C30"/>
    <mergeCell ref="A9:A13"/>
    <mergeCell ref="H10:H13"/>
    <mergeCell ref="A125:I125"/>
    <mergeCell ref="A39:I39"/>
    <mergeCell ref="A38:C38"/>
    <mergeCell ref="A22:I22"/>
    <mergeCell ref="A101:I101"/>
    <mergeCell ref="A45:I45"/>
    <mergeCell ref="A67:I67"/>
    <mergeCell ref="A31:I31"/>
    <mergeCell ref="A35:C35"/>
    <mergeCell ref="A36:I36"/>
    <mergeCell ref="A124:C124"/>
    <mergeCell ref="D1:F1"/>
    <mergeCell ref="A44:C44"/>
    <mergeCell ref="A150:C150"/>
    <mergeCell ref="A82:C82"/>
    <mergeCell ref="A83:I83"/>
    <mergeCell ref="A94:C94"/>
    <mergeCell ref="A95:I95"/>
    <mergeCell ref="A149:C149"/>
    <mergeCell ref="A100:C100"/>
    <mergeCell ref="A76:C76"/>
    <mergeCell ref="A77:I77"/>
    <mergeCell ref="A70:I70"/>
    <mergeCell ref="A41:C41"/>
    <mergeCell ref="A42:I42"/>
    <mergeCell ref="A21:C21"/>
    <mergeCell ref="A26:C26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20" sqref="K20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6" width="8.42578125" customWidth="1"/>
    <col min="7" max="7" width="7" customWidth="1"/>
    <col min="8" max="8" width="7.570312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299" t="s">
        <v>464</v>
      </c>
      <c r="E1" s="299"/>
      <c r="F1" s="299"/>
      <c r="G1" s="299"/>
      <c r="H1" s="299"/>
    </row>
    <row r="2" spans="1:11" ht="17.25" customHeight="1" x14ac:dyDescent="0.25">
      <c r="D2" s="299" t="s">
        <v>463</v>
      </c>
      <c r="E2" s="299"/>
      <c r="F2" s="299"/>
      <c r="G2" s="299"/>
      <c r="H2" s="299"/>
      <c r="I2" s="299"/>
    </row>
    <row r="3" spans="1:11" ht="16.5" customHeight="1" x14ac:dyDescent="0.25">
      <c r="D3" s="299" t="s">
        <v>465</v>
      </c>
      <c r="E3" s="299"/>
      <c r="F3" s="299"/>
      <c r="G3" s="299"/>
      <c r="H3" s="16"/>
    </row>
    <row r="5" spans="1:11" ht="19.5" customHeight="1" x14ac:dyDescent="0.25">
      <c r="A5" s="158" t="s">
        <v>450</v>
      </c>
      <c r="B5" s="158"/>
      <c r="C5" s="158"/>
      <c r="D5" s="158"/>
      <c r="E5" s="158"/>
      <c r="F5" s="158"/>
      <c r="G5" s="158"/>
      <c r="H5" s="16"/>
    </row>
    <row r="6" spans="1:11" ht="15.75" x14ac:dyDescent="0.25">
      <c r="A6" s="200" t="s">
        <v>430</v>
      </c>
      <c r="B6" s="200"/>
      <c r="C6" s="200"/>
      <c r="D6" s="200"/>
      <c r="E6" s="200"/>
      <c r="F6" s="200"/>
      <c r="G6" s="200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124</v>
      </c>
      <c r="H7" s="16"/>
    </row>
    <row r="8" spans="1:11" ht="15.75" customHeight="1" x14ac:dyDescent="0.2">
      <c r="A8" s="230" t="s">
        <v>60</v>
      </c>
      <c r="B8" s="230" t="s">
        <v>153</v>
      </c>
      <c r="C8" s="230" t="s">
        <v>154</v>
      </c>
      <c r="D8" s="253" t="s">
        <v>431</v>
      </c>
      <c r="E8" s="230" t="s">
        <v>346</v>
      </c>
      <c r="F8" s="253" t="s">
        <v>152</v>
      </c>
      <c r="G8" s="253"/>
      <c r="H8" s="253"/>
    </row>
    <row r="9" spans="1:11" ht="15.75" x14ac:dyDescent="0.2">
      <c r="A9" s="231"/>
      <c r="B9" s="231"/>
      <c r="C9" s="231"/>
      <c r="D9" s="253"/>
      <c r="E9" s="231"/>
      <c r="F9" s="253" t="s">
        <v>108</v>
      </c>
      <c r="G9" s="253"/>
      <c r="H9" s="230" t="s">
        <v>432</v>
      </c>
      <c r="K9" s="159"/>
    </row>
    <row r="10" spans="1:11" ht="12.75" customHeight="1" x14ac:dyDescent="0.2">
      <c r="A10" s="231"/>
      <c r="B10" s="231"/>
      <c r="C10" s="231"/>
      <c r="D10" s="253"/>
      <c r="E10" s="231"/>
      <c r="F10" s="253" t="s">
        <v>4</v>
      </c>
      <c r="G10" s="253" t="s">
        <v>109</v>
      </c>
      <c r="H10" s="231"/>
    </row>
    <row r="11" spans="1:11" ht="49.5" customHeight="1" x14ac:dyDescent="0.2">
      <c r="A11" s="232"/>
      <c r="B11" s="232"/>
      <c r="C11" s="232"/>
      <c r="D11" s="253"/>
      <c r="E11" s="232"/>
      <c r="F11" s="253"/>
      <c r="G11" s="253"/>
      <c r="H11" s="232"/>
    </row>
    <row r="12" spans="1:11" ht="16.5" customHeight="1" x14ac:dyDescent="0.2">
      <c r="A12" s="153" t="s">
        <v>37</v>
      </c>
      <c r="B12" s="300" t="s">
        <v>8</v>
      </c>
      <c r="C12" s="300"/>
      <c r="D12" s="300"/>
      <c r="E12" s="160">
        <f>SUM(E14:E18,E20:E22)</f>
        <v>685276</v>
      </c>
      <c r="F12" s="160">
        <f>SUM(F14:F18,F20:F22)</f>
        <v>603939</v>
      </c>
      <c r="G12" s="160">
        <f>SUM(G14:G18,G20:G22)</f>
        <v>0</v>
      </c>
      <c r="H12" s="160">
        <f>SUM(H14:H18,H20:H22)</f>
        <v>81337</v>
      </c>
      <c r="J12" s="161"/>
    </row>
    <row r="13" spans="1:11" ht="15.75" x14ac:dyDescent="0.25">
      <c r="A13" s="4" t="s">
        <v>61</v>
      </c>
      <c r="B13" s="211" t="s">
        <v>433</v>
      </c>
      <c r="C13" s="211"/>
      <c r="D13" s="211"/>
      <c r="E13" s="211"/>
      <c r="F13" s="211"/>
      <c r="G13" s="211"/>
      <c r="H13" s="211"/>
    </row>
    <row r="14" spans="1:11" ht="15.75" x14ac:dyDescent="0.25">
      <c r="A14" s="4" t="s">
        <v>434</v>
      </c>
      <c r="B14" s="19" t="s">
        <v>127</v>
      </c>
      <c r="C14" s="19" t="s">
        <v>127</v>
      </c>
      <c r="D14" s="4" t="s">
        <v>230</v>
      </c>
      <c r="E14" s="4">
        <f>SUM(F14+H14)</f>
        <v>51137</v>
      </c>
      <c r="F14" s="4">
        <v>51137</v>
      </c>
      <c r="G14" s="4"/>
      <c r="H14" s="4"/>
    </row>
    <row r="15" spans="1:11" ht="16.5" customHeight="1" x14ac:dyDescent="0.25">
      <c r="A15" s="4" t="s">
        <v>435</v>
      </c>
      <c r="B15" s="19" t="s">
        <v>164</v>
      </c>
      <c r="C15" s="19" t="s">
        <v>164</v>
      </c>
      <c r="D15" s="4" t="s">
        <v>23</v>
      </c>
      <c r="E15" s="4">
        <f>SUM(F15+H15)</f>
        <v>91527</v>
      </c>
      <c r="F15" s="4">
        <v>91527</v>
      </c>
      <c r="G15" s="4"/>
      <c r="H15" s="4"/>
    </row>
    <row r="16" spans="1:11" ht="16.5" customHeight="1" x14ac:dyDescent="0.25">
      <c r="A16" s="4" t="s">
        <v>436</v>
      </c>
      <c r="B16" s="19" t="s">
        <v>46</v>
      </c>
      <c r="C16" s="19" t="s">
        <v>164</v>
      </c>
      <c r="D16" s="4" t="s">
        <v>17</v>
      </c>
      <c r="E16" s="4">
        <f>SUM(F16+H16)</f>
        <v>81337</v>
      </c>
      <c r="F16" s="4"/>
      <c r="G16" s="4"/>
      <c r="H16" s="4">
        <v>81337</v>
      </c>
    </row>
    <row r="17" spans="1:8" ht="15.75" x14ac:dyDescent="0.25">
      <c r="A17" s="4" t="s">
        <v>437</v>
      </c>
      <c r="B17" s="19" t="s">
        <v>162</v>
      </c>
      <c r="C17" s="19" t="s">
        <v>166</v>
      </c>
      <c r="D17" s="152" t="s">
        <v>16</v>
      </c>
      <c r="E17" s="4">
        <f t="shared" ref="E17:E22" si="0">SUM(F17+H17)</f>
        <v>102499</v>
      </c>
      <c r="F17" s="4">
        <v>102499</v>
      </c>
      <c r="G17" s="4"/>
      <c r="H17" s="4"/>
    </row>
    <row r="18" spans="1:8" ht="15.75" x14ac:dyDescent="0.25">
      <c r="A18" s="4" t="s">
        <v>438</v>
      </c>
      <c r="B18" s="19" t="s">
        <v>51</v>
      </c>
      <c r="C18" s="19" t="s">
        <v>162</v>
      </c>
      <c r="D18" s="4" t="s">
        <v>223</v>
      </c>
      <c r="E18" s="4">
        <f t="shared" si="0"/>
        <v>123186</v>
      </c>
      <c r="F18" s="4">
        <v>123186</v>
      </c>
      <c r="G18" s="4"/>
      <c r="H18" s="4"/>
    </row>
    <row r="19" spans="1:8" ht="15.75" x14ac:dyDescent="0.25">
      <c r="A19" s="4" t="s">
        <v>62</v>
      </c>
      <c r="B19" s="211" t="s">
        <v>116</v>
      </c>
      <c r="C19" s="211"/>
      <c r="D19" s="211"/>
      <c r="E19" s="211"/>
      <c r="F19" s="211"/>
      <c r="G19" s="211"/>
      <c r="H19" s="211"/>
    </row>
    <row r="20" spans="1:8" ht="45" customHeight="1" x14ac:dyDescent="0.25">
      <c r="A20" s="4" t="s">
        <v>439</v>
      </c>
      <c r="B20" s="19" t="s">
        <v>162</v>
      </c>
      <c r="C20" s="19" t="s">
        <v>168</v>
      </c>
      <c r="D20" s="153" t="s">
        <v>440</v>
      </c>
      <c r="E20" s="4">
        <f t="shared" si="0"/>
        <v>168384</v>
      </c>
      <c r="F20" s="4">
        <v>168384</v>
      </c>
      <c r="G20" s="4"/>
      <c r="H20" s="4"/>
    </row>
    <row r="21" spans="1:8" ht="33" customHeight="1" x14ac:dyDescent="0.25">
      <c r="A21" s="4" t="s">
        <v>441</v>
      </c>
      <c r="B21" s="19" t="s">
        <v>162</v>
      </c>
      <c r="C21" s="19" t="s">
        <v>168</v>
      </c>
      <c r="D21" s="153" t="s">
        <v>442</v>
      </c>
      <c r="E21" s="4">
        <f t="shared" si="0"/>
        <v>12654</v>
      </c>
      <c r="F21" s="4">
        <v>12654</v>
      </c>
      <c r="G21" s="4"/>
      <c r="H21" s="4"/>
    </row>
    <row r="22" spans="1:8" ht="18" customHeight="1" x14ac:dyDescent="0.25">
      <c r="A22" s="4" t="s">
        <v>443</v>
      </c>
      <c r="B22" s="19" t="s">
        <v>162</v>
      </c>
      <c r="C22" s="19" t="s">
        <v>168</v>
      </c>
      <c r="D22" s="153" t="s">
        <v>444</v>
      </c>
      <c r="E22" s="4">
        <f t="shared" si="0"/>
        <v>54552</v>
      </c>
      <c r="F22" s="4">
        <v>54552</v>
      </c>
      <c r="G22" s="4"/>
      <c r="H22" s="4"/>
    </row>
    <row r="23" spans="1:8" ht="21.75" customHeight="1" x14ac:dyDescent="0.25">
      <c r="A23" s="4" t="s">
        <v>41</v>
      </c>
      <c r="B23" s="211" t="s">
        <v>369</v>
      </c>
      <c r="C23" s="211"/>
      <c r="D23" s="211"/>
      <c r="E23" s="4">
        <f>SUM(F23+H23)</f>
        <v>1979</v>
      </c>
      <c r="F23" s="4">
        <v>1979</v>
      </c>
      <c r="G23" s="6"/>
      <c r="H23" s="6"/>
    </row>
    <row r="24" spans="1:8" ht="15.75" x14ac:dyDescent="0.25">
      <c r="A24" s="5" t="s">
        <v>446</v>
      </c>
      <c r="B24" s="211" t="s">
        <v>445</v>
      </c>
      <c r="C24" s="211"/>
      <c r="D24" s="211"/>
      <c r="E24" s="211"/>
      <c r="F24" s="211"/>
      <c r="G24" s="211"/>
      <c r="H24" s="211"/>
    </row>
    <row r="25" spans="1:8" ht="15.75" x14ac:dyDescent="0.25">
      <c r="A25" s="5" t="s">
        <v>447</v>
      </c>
      <c r="B25" s="19" t="s">
        <v>51</v>
      </c>
      <c r="C25" s="19" t="s">
        <v>162</v>
      </c>
      <c r="D25" s="14" t="s">
        <v>185</v>
      </c>
      <c r="E25" s="4">
        <f>SUM(F25+H25)</f>
        <v>1979</v>
      </c>
      <c r="F25" s="4">
        <v>1979</v>
      </c>
      <c r="G25" s="4"/>
      <c r="H25" s="4"/>
    </row>
    <row r="26" spans="1:8" ht="21" customHeight="1" x14ac:dyDescent="0.25">
      <c r="A26" s="4" t="s">
        <v>50</v>
      </c>
      <c r="B26" s="211" t="s">
        <v>28</v>
      </c>
      <c r="C26" s="211"/>
      <c r="D26" s="211"/>
      <c r="E26" s="6">
        <f>SUM(E28)</f>
        <v>8542</v>
      </c>
      <c r="F26" s="6">
        <f>SUM(F28)</f>
        <v>8542</v>
      </c>
      <c r="G26" s="6">
        <f>SUM(G28)</f>
        <v>0</v>
      </c>
      <c r="H26" s="6">
        <f>SUM(H28)</f>
        <v>0</v>
      </c>
    </row>
    <row r="27" spans="1:8" ht="15.75" x14ac:dyDescent="0.25">
      <c r="A27" s="5" t="s">
        <v>448</v>
      </c>
      <c r="B27" s="211" t="s">
        <v>445</v>
      </c>
      <c r="C27" s="211"/>
      <c r="D27" s="211"/>
      <c r="E27" s="211"/>
      <c r="F27" s="211"/>
      <c r="G27" s="211"/>
      <c r="H27" s="211"/>
    </row>
    <row r="28" spans="1:8" ht="15.75" x14ac:dyDescent="0.25">
      <c r="A28" s="5" t="s">
        <v>449</v>
      </c>
      <c r="B28" s="19" t="s">
        <v>51</v>
      </c>
      <c r="C28" s="19" t="s">
        <v>162</v>
      </c>
      <c r="D28" s="10" t="s">
        <v>173</v>
      </c>
      <c r="E28" s="4">
        <f>SUM(F28+H28)</f>
        <v>8542</v>
      </c>
      <c r="F28" s="4">
        <v>8542</v>
      </c>
      <c r="G28" s="4"/>
      <c r="H28" s="4"/>
    </row>
    <row r="29" spans="1:8" ht="15.75" x14ac:dyDescent="0.25">
      <c r="A29" s="162"/>
      <c r="B29" s="162"/>
      <c r="C29" s="162"/>
      <c r="D29" s="163" t="s">
        <v>451</v>
      </c>
      <c r="E29" s="6">
        <v>695797</v>
      </c>
      <c r="F29" s="6">
        <v>614460</v>
      </c>
      <c r="G29" s="6"/>
      <c r="H29" s="6">
        <v>81337</v>
      </c>
    </row>
  </sheetData>
  <mergeCells count="21">
    <mergeCell ref="B13:H13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B12:D12"/>
    <mergeCell ref="B26:D26"/>
    <mergeCell ref="B27:H27"/>
    <mergeCell ref="B24:H24"/>
    <mergeCell ref="B23:D23"/>
    <mergeCell ref="B19:H1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2014-09-23T08:40:25Z</cp:lastPrinted>
  <dcterms:created xsi:type="dcterms:W3CDTF">2001-02-14T07:46:15Z</dcterms:created>
  <dcterms:modified xsi:type="dcterms:W3CDTF">2014-09-24T06:52:10Z</dcterms:modified>
</cp:coreProperties>
</file>