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5 pr" sheetId="1" r:id="rId1"/>
    <sheet name="prie 5 pr" sheetId="2" r:id="rId2"/>
    <sheet name="prie 9 pr (1)" sheetId="3" r:id="rId3"/>
    <sheet name="prie 9 pr (2)" sheetId="4" r:id="rId4"/>
    <sheet name="10 pr" sheetId="5" r:id="rId5"/>
  </sheets>
  <definedNames>
    <definedName name="_xlnm.Print_Area" localSheetId="4">'10 pr'!$A$1:$H$68</definedName>
    <definedName name="_xlnm.Print_Area" localSheetId="0">'5 pr'!$A$1:$H$188</definedName>
    <definedName name="_xlnm.Print_Area" localSheetId="1">'prie 5 pr'!$A$1:$C$93</definedName>
    <definedName name="_xlnm.Print_Area" localSheetId="2">'prie 9 pr (1)'!$A$1:$E$30</definedName>
    <definedName name="_xlnm.Print_Area" localSheetId="3">'prie 9 pr (2)'!$A$1:$E$76</definedName>
    <definedName name="_xlnm.Print_Titles" localSheetId="4">'10 pr'!$10:$10</definedName>
    <definedName name="_xlnm.Print_Titles" localSheetId="0">'5 pr'!$10:$10</definedName>
    <definedName name="_xlnm.Print_Titles" localSheetId="1">'prie 5 pr'!$7:$7</definedName>
    <definedName name="_xlnm.Print_Titles" localSheetId="3">'prie 9 pr (2)'!$7:$7</definedName>
  </definedNames>
  <calcPr fullCalcOnLoad="1"/>
</workbook>
</file>

<file path=xl/sharedStrings.xml><?xml version="1.0" encoding="utf-8"?>
<sst xmlns="http://schemas.openxmlformats.org/spreadsheetml/2006/main" count="770" uniqueCount="501">
  <si>
    <t xml:space="preserve">                                                           Kėdainių rajono savivaldybės tarybos</t>
  </si>
  <si>
    <t>5 priedas</t>
  </si>
  <si>
    <t>KĖDAINIŲ RAJONO SAVIVALDYBĖS 2011 METŲ BIUDŽETO ASIGNAVIMAI  SAVARANKIŠKOMS FUNKCIJOMS ATLIKTI</t>
  </si>
  <si>
    <t>tūkst.Lt</t>
  </si>
  <si>
    <t>Eil. Nr.</t>
  </si>
  <si>
    <t>Programos kodas</t>
  </si>
  <si>
    <t>Asignavimų valdytojas</t>
  </si>
  <si>
    <t>Funkcijos kodas</t>
  </si>
  <si>
    <t>Iš viso</t>
  </si>
  <si>
    <t>Iš jų:</t>
  </si>
  <si>
    <t>Išlaidoms</t>
  </si>
  <si>
    <t>Turtui įsigyti</t>
  </si>
  <si>
    <t>Iš jų darbo užmokesčiui</t>
  </si>
  <si>
    <t>2</t>
  </si>
  <si>
    <t>01</t>
  </si>
  <si>
    <t>ŠVIETIMAS IR UGDYMAS</t>
  </si>
  <si>
    <t>Kėdainių lopšelis-darželis "Pasaka"</t>
  </si>
  <si>
    <t>09.01.01.01</t>
  </si>
  <si>
    <t>Kėdainių lopšelis-darželis "Varpelis"</t>
  </si>
  <si>
    <t>Kėdainių lopšelis-darželis "Vyturėlis"</t>
  </si>
  <si>
    <t>Kėdainių lopšelis-darželis "Žilvitis"</t>
  </si>
  <si>
    <t>Kėdainių rajono Labūnavos darželis   "Ąžuoliukas"</t>
  </si>
  <si>
    <t>Kėdainių rajono Lančiūnavos vaikų  darželis</t>
  </si>
  <si>
    <t>Kėdainių rajono Krakių  darželis</t>
  </si>
  <si>
    <t>Kėdainių mokykla-darželis "Aviliukas"</t>
  </si>
  <si>
    <t>09.01.02.01</t>
  </si>
  <si>
    <t>Kėdainių mokykla-darželis "Puriena"</t>
  </si>
  <si>
    <t>Kėdainių mokykla-darželis "Vaikystė"</t>
  </si>
  <si>
    <t>Kėdainių r. Akademijos mokykla-darželis "Kaštonas"</t>
  </si>
  <si>
    <t>Kėdainių rajono Pelėdnagių mokykla-darželis "Dobiliukas"</t>
  </si>
  <si>
    <t>Kėdainių rajono Vilainių mokykla-darželis "Obelėlė"</t>
  </si>
  <si>
    <t>Kėdainių "Atžalyno" gimnazija</t>
  </si>
  <si>
    <t>09.02.02.01</t>
  </si>
  <si>
    <t>Kėdainių šviesioji gimnazija</t>
  </si>
  <si>
    <t>Kėdainių rajono savivaldybės Akademijos gimnazija</t>
  </si>
  <si>
    <t>Kėdainių rajono savivaldybės Josvainių gimnazija</t>
  </si>
  <si>
    <t>Kėdainių r. Krakių Mikalojaus Katkaus gimnazija</t>
  </si>
  <si>
    <t>Kėdainių rajono savivaldybės Šėtos  gimnazija</t>
  </si>
  <si>
    <t>Kėdainių suaugusiųjų mokymo centras</t>
  </si>
  <si>
    <t>Kėdainių "Aušros" vidurinė mokykla</t>
  </si>
  <si>
    <t>Kėdainių "Ryto" vidurinė mokykla</t>
  </si>
  <si>
    <t>Kėdainių Juozo Paukštelio pagrindinė mokykla</t>
  </si>
  <si>
    <t>09.02.01.01</t>
  </si>
  <si>
    <t>Kėdainių Mikalojaus Daukšos pagrindinė mokykla</t>
  </si>
  <si>
    <t>Kėdainių rajono Aristavos pagrindinė mokykla</t>
  </si>
  <si>
    <t>Kėdainių r. Dotnuvos pagrindinė mokykla</t>
  </si>
  <si>
    <t>Kėdainių rajono Gudžiūnų Pauliaus Rabikausko pagrindinė mokykla</t>
  </si>
  <si>
    <t>Kėdainių rajono Kunionių pagrindinė mokykla</t>
  </si>
  <si>
    <t>Kėdainių rajono Labūnavos pagrindinė mokykla</t>
  </si>
  <si>
    <t>Kėdainių r. Lančiūnavos pagrindinė mokykla</t>
  </si>
  <si>
    <t>Kėdainių rajono Miegenų pagrindinė mokykla</t>
  </si>
  <si>
    <t>Kėdainių r. Pernaravos pagrindinė mokykla</t>
  </si>
  <si>
    <t>Kėdainių r. Surviliškio Vinco Svirskio pagrindinė mokykla</t>
  </si>
  <si>
    <t>Kėdainių r. Tiskūnų Juozo Urbšio pagrindinė mokykla</t>
  </si>
  <si>
    <t>Kėdainių rajono Truskavos pagrindinė mokykla</t>
  </si>
  <si>
    <t>Kėdainių jaunimo  mokykla</t>
  </si>
  <si>
    <t>09.02.01.01 09.05.01.01</t>
  </si>
  <si>
    <t>Kėdainių dailės mokykla</t>
  </si>
  <si>
    <t>09.05.01.01</t>
  </si>
  <si>
    <t>Kėdainių kalbų mokykla</t>
  </si>
  <si>
    <t>Kėdainių muzikos  mokykla</t>
  </si>
  <si>
    <t>Kėdainių sporto mokykla</t>
  </si>
  <si>
    <t>Kėdainių švietimo centras</t>
  </si>
  <si>
    <t>Šėtos socialinis ir ugdymo  centras</t>
  </si>
  <si>
    <t>Josvainių socialinis ir ugdymo centras</t>
  </si>
  <si>
    <t xml:space="preserve">Kėdainių rajono savivaldybės administracija iš viso </t>
  </si>
  <si>
    <t>iš jų :</t>
  </si>
  <si>
    <t>45 1</t>
  </si>
  <si>
    <t xml:space="preserve">Kėdainių rajono savivaldybės administracija </t>
  </si>
  <si>
    <t xml:space="preserve">09.06.01.01 09.08.01.09    </t>
  </si>
  <si>
    <t>45 2</t>
  </si>
  <si>
    <t>Vaikų užimtumo ir nusikalstamumo prevencijos programai</t>
  </si>
  <si>
    <t>09.08.01.01</t>
  </si>
  <si>
    <t>45 3</t>
  </si>
  <si>
    <t>Gabių ir talentingų vaikų rėmimo fondui</t>
  </si>
  <si>
    <t>09.06.01.01</t>
  </si>
  <si>
    <t>Kėdainių rajono savivaldybės administracijos Vilainių seniūnija</t>
  </si>
  <si>
    <t>02</t>
  </si>
  <si>
    <t>SVEIKATOS APSAUGA</t>
  </si>
  <si>
    <t>Kėdainių rajono savivaldybės visuomenės sveikatos biuras</t>
  </si>
  <si>
    <t>07.04.01.02</t>
  </si>
  <si>
    <t xml:space="preserve">  iš jų:</t>
  </si>
  <si>
    <t>49 1</t>
  </si>
  <si>
    <t>VšĮ Kėdainių ligoninės įrangos pirkimui</t>
  </si>
  <si>
    <t>07.01.03.01</t>
  </si>
  <si>
    <t>49 2</t>
  </si>
  <si>
    <t>VšĮ Kėdainių ligoninės dantų protezavimo pensininkams ir neįgaliesiems 2011 m. programai</t>
  </si>
  <si>
    <t>07.02.03.01</t>
  </si>
  <si>
    <t>49 3</t>
  </si>
  <si>
    <t>VšĮ Kėdainių ligoninės vaikų slaugos lovų  išlaikymo 2011 m. programai</t>
  </si>
  <si>
    <t>07.03.01.01</t>
  </si>
  <si>
    <t>49 4</t>
  </si>
  <si>
    <t>Lietuvos medžiotojų ir žvejų draugijos Kėdainių skyriaus pasiutligės prevencijos 2011 m. programai</t>
  </si>
  <si>
    <t>07.06.01.02</t>
  </si>
  <si>
    <t>49 5</t>
  </si>
  <si>
    <t>Kėdainių rajono savivaldybės priklausomybę sukeliančių medžiagų vartojimo mažinimo ir prevencijos 2011 m. programai</t>
  </si>
  <si>
    <t>07.06.01.05</t>
  </si>
  <si>
    <t>49 6</t>
  </si>
  <si>
    <t>VšĮ PSPC rentgeno aparato pirkimui</t>
  </si>
  <si>
    <t>VšĮ Kėdainių ligoninės paskolos grąžinimui</t>
  </si>
  <si>
    <t>03</t>
  </si>
  <si>
    <t>SOCIALINĖS APSAUGOS PLĖTOJIMAS</t>
  </si>
  <si>
    <t>Kėdainių vaikų globos namai "Saulutė"</t>
  </si>
  <si>
    <t>10.04.01.01</t>
  </si>
  <si>
    <t>Kėdainių bendruomenės socialinis centras</t>
  </si>
  <si>
    <t>10.01.02.02
10.07.01.01
10.09.01.01</t>
  </si>
  <si>
    <t>53 1</t>
  </si>
  <si>
    <t xml:space="preserve">        iš jų: socialinės paramos 2011 m. programai</t>
  </si>
  <si>
    <t>10.02.01.02</t>
  </si>
  <si>
    <t xml:space="preserve">10.02.01.02 10.04.01.01    </t>
  </si>
  <si>
    <t>Kėdainių specialioji mokykla</t>
  </si>
  <si>
    <t>Dotnuvos slaugos namai</t>
  </si>
  <si>
    <t>Kėdainių rajono savivaldybės administracijos Dotnuvos seniūnija</t>
  </si>
  <si>
    <t>10.07.01.01 10.09.01.01</t>
  </si>
  <si>
    <t>Kėdainių rajono savivaldybės administracijos Gudžiūnų seniūnija</t>
  </si>
  <si>
    <t>Kėdainių rajono savivaldybės administracijos Krakių seniūnija</t>
  </si>
  <si>
    <t>Kėdainių rajono savivaldybės administracijos Josvainių seniūnija</t>
  </si>
  <si>
    <t>Kėdainių rajono savivaldybės administracijos Kėdainių miesto seniūnija</t>
  </si>
  <si>
    <t>Kėdainių rajono savivaldybės administracijos Pelėdnagių seniūnija</t>
  </si>
  <si>
    <t>Kėdainių rajono savivaldybės administracijos Pernaravos seniūnija</t>
  </si>
  <si>
    <t>Kėdainių rajono savivaldybės administracijos Šėtos seniūnija</t>
  </si>
  <si>
    <t>Kėdainių rajono savivaldybės administracijos Surviliškio seniūnija</t>
  </si>
  <si>
    <t>Kėdainių rajono savivaldybės administracijos Truskavos seniūnija</t>
  </si>
  <si>
    <t>iš jų:</t>
  </si>
  <si>
    <t>69 1</t>
  </si>
  <si>
    <t>10.01.02.02</t>
  </si>
  <si>
    <t>69 2</t>
  </si>
  <si>
    <t>Nemokamam socialiai remtinų vaikų maitinimui</t>
  </si>
  <si>
    <t>10.07.01.01</t>
  </si>
  <si>
    <t>69 3</t>
  </si>
  <si>
    <t xml:space="preserve">Bendrojo lavinimo mokyklų mokinių nemokamo maitinimo paslaugų kainų  kompensavimui </t>
  </si>
  <si>
    <t>69 4</t>
  </si>
  <si>
    <t xml:space="preserve">Kainų skirtumams gyventojams už šildymą </t>
  </si>
  <si>
    <t>10.06.01.01</t>
  </si>
  <si>
    <t>69 5</t>
  </si>
  <si>
    <t>Šalto vandens pardavimo kainos kompensavimui</t>
  </si>
  <si>
    <t>69 6</t>
  </si>
  <si>
    <t>Karšto vandens pardavimo kainos kompensavimui</t>
  </si>
  <si>
    <t>69 7</t>
  </si>
  <si>
    <t xml:space="preserve">Kelionės išlaidų už lengvatinį keleivių vežimą kompensavimui </t>
  </si>
  <si>
    <t>09.06.01.01
10.01.02.40
10.02.01.40</t>
  </si>
  <si>
    <t>69 8</t>
  </si>
  <si>
    <t>VšĮ "Gyvenimo namai  sutrikusio intelekto asmenims" 2011 m veiklai</t>
  </si>
  <si>
    <t>10.01.02.40</t>
  </si>
  <si>
    <t>04</t>
  </si>
  <si>
    <t>KŪNO KULTŪROS IR SPORTO PLĖTRA</t>
  </si>
  <si>
    <t>08.01.01.03</t>
  </si>
  <si>
    <t>71 1</t>
  </si>
  <si>
    <t>71 2</t>
  </si>
  <si>
    <t>Prioritetinių sporto šakų veiklos programoms</t>
  </si>
  <si>
    <t>71 3</t>
  </si>
  <si>
    <t xml:space="preserve">Viešųjų įstaigų sporto veiklos programoms konkurso būdu </t>
  </si>
  <si>
    <t>05</t>
  </si>
  <si>
    <t>KULTŪROS VEIKLOS PLĖTRA</t>
  </si>
  <si>
    <t>Kėdainių kultūros centras</t>
  </si>
  <si>
    <t>08.02.01.08</t>
  </si>
  <si>
    <t>Akademijos kultūros centras</t>
  </si>
  <si>
    <t>Josvainių kultūros centras</t>
  </si>
  <si>
    <t>Krakių kultūros centras</t>
  </si>
  <si>
    <t>Šėtos kultūros centras</t>
  </si>
  <si>
    <t>Truskavos kultūros centras</t>
  </si>
  <si>
    <t>Kėdainių rajono savivaldybės Mikalojaus Daukšos viešoji biblioteka</t>
  </si>
  <si>
    <t>08.02.01.01</t>
  </si>
  <si>
    <t>Kėdainių krašto muziejus</t>
  </si>
  <si>
    <t>08.02.01.02</t>
  </si>
  <si>
    <t>82 1</t>
  </si>
  <si>
    <t>08.02.01.06</t>
  </si>
  <si>
    <t>82 2</t>
  </si>
  <si>
    <t>VšĮ "Laiptai į viltį" 2011 m. veiklai</t>
  </si>
  <si>
    <t>08.04.01.01</t>
  </si>
  <si>
    <t>82 3</t>
  </si>
  <si>
    <t>VšĮ "Laiptai į viltį" (paskolos gąžinimui)</t>
  </si>
  <si>
    <t>01.03.02.01</t>
  </si>
  <si>
    <t>06</t>
  </si>
  <si>
    <t>KULTŪROS PAVELDO IŠSAUGOJIMAS, TURIZMO SKATINIMAS IR VYSTYMAS</t>
  </si>
  <si>
    <t>Kėdainių rajono turizmo informacijos centras</t>
  </si>
  <si>
    <t>04.07.03.01</t>
  </si>
  <si>
    <t>07</t>
  </si>
  <si>
    <t>INFRASTRUKTŪROS OBJEKTŲ  PRIEŽIŪRA IR PLĖTRA</t>
  </si>
  <si>
    <t>06.04.01.01</t>
  </si>
  <si>
    <t>04.05.01.02 06.04.01.01</t>
  </si>
  <si>
    <t>97 1</t>
  </si>
  <si>
    <t>Kėdainių rajono savivaldybės investicijų 2011 m. programai iš skolintų lėšų (pridedama)</t>
  </si>
  <si>
    <t>97 2</t>
  </si>
  <si>
    <t>Daugiabučių namų bendrijų rėmimo fondui</t>
  </si>
  <si>
    <t>06.01.01.01</t>
  </si>
  <si>
    <t>08</t>
  </si>
  <si>
    <t>APLINKOS APSAUGA</t>
  </si>
  <si>
    <t xml:space="preserve">05.01.01.01
06.02.01.01                       </t>
  </si>
  <si>
    <t>05.01.01.01</t>
  </si>
  <si>
    <t xml:space="preserve">05.01.01.01  05.02.01.01
06.03.01.01                       </t>
  </si>
  <si>
    <t xml:space="preserve">05.01.01.01               </t>
  </si>
  <si>
    <t>110 1</t>
  </si>
  <si>
    <t>Aplinkos apsaugos rėmimo specialiajai programai (pridedama 11 priedas)</t>
  </si>
  <si>
    <t>05.03.01.03</t>
  </si>
  <si>
    <t>110 2</t>
  </si>
  <si>
    <t>Rajono komunalinių atliekų tvarkytojui</t>
  </si>
  <si>
    <t>10</t>
  </si>
  <si>
    <t>PARAMA VERSLUI IR VERSLO PLĖTRA</t>
  </si>
  <si>
    <t>112 1</t>
  </si>
  <si>
    <t xml:space="preserve">VšĮ Kėdainių verslo informacinio centro 2011 m. veiklai </t>
  </si>
  <si>
    <t>04.01.01.01</t>
  </si>
  <si>
    <t>11</t>
  </si>
  <si>
    <t>SAVIVALDYBĖS VALDYMO TOBULINIMAS</t>
  </si>
  <si>
    <t>Kėdainių rajono savivaldybės priešgaisrinė tarnyba</t>
  </si>
  <si>
    <t>03.02.01.01</t>
  </si>
  <si>
    <t>Kėdainių rajono savivaldybės kontrolės ir audito tarnyba</t>
  </si>
  <si>
    <t>01.01.01.04</t>
  </si>
  <si>
    <t>116 1</t>
  </si>
  <si>
    <t xml:space="preserve">Kėdainių rajono savivaldybės administracija  </t>
  </si>
  <si>
    <t>01.01.01.03
01.01.01.04
01.03.02.01
01.06.01.11
04.05.01.09
06.06.01.09</t>
  </si>
  <si>
    <t>116 2</t>
  </si>
  <si>
    <t>Kėdainių rajono policijos komisariato 2011 m. prevencinei programai "Saugios aplinkos kūrimas ir bendruomenės teisėtvarka"</t>
  </si>
  <si>
    <t>03.01.01.01</t>
  </si>
  <si>
    <t>116 3</t>
  </si>
  <si>
    <t>Administracijos direktoriaus rezervui</t>
  </si>
  <si>
    <t>01.06.01.10</t>
  </si>
  <si>
    <t>116 4</t>
  </si>
  <si>
    <t>Kėdainių rajono savivaldybės mero fondui</t>
  </si>
  <si>
    <t>01.06.01.11</t>
  </si>
  <si>
    <t>116 5</t>
  </si>
  <si>
    <t>UAB "Kėdbusas" nuostolingų važiavimo maršrutų kompensavimui</t>
  </si>
  <si>
    <t>04.05.01.01</t>
  </si>
  <si>
    <t>116 6</t>
  </si>
  <si>
    <t xml:space="preserve">Bendruomenių veiklai </t>
  </si>
  <si>
    <t>116 7</t>
  </si>
  <si>
    <t xml:space="preserve">VšĮ Kauno regioninės plėtros agentūros 2011 m. programai </t>
  </si>
  <si>
    <t>Palūkanos bankui</t>
  </si>
  <si>
    <t>01.07.01.01</t>
  </si>
  <si>
    <t xml:space="preserve">Paskolos grąžinimui </t>
  </si>
  <si>
    <t>IŠ VISO ASIGNAVIMŲ</t>
  </si>
  <si>
    <t xml:space="preserve">                                                                   Kėdainių rajono savivaldybės tarybos</t>
  </si>
  <si>
    <t xml:space="preserve">KĖDAINIŲ RAJONO SAVIVALDYBĖS  INVESTICIJŲ 2011 M. PROGRAMA IŠ SKOLINTŲ LĖŠŲ                  </t>
  </si>
  <si>
    <t>Objekto pavadinimas</t>
  </si>
  <si>
    <t>Lėšų suma  ( tūkst. Lt )</t>
  </si>
  <si>
    <t>Stogų programa</t>
  </si>
  <si>
    <t xml:space="preserve">Avarinių židinių likvidavimas </t>
  </si>
  <si>
    <t xml:space="preserve">Neprivatizuotų butų remontas,renovacija ir komunalinės paslaugos </t>
  </si>
  <si>
    <t>Specialiųjų ir detaliųjų planų, topografinių nuotraukų ir geodezinių planų rengimas</t>
  </si>
  <si>
    <t>Savivaldybės turto inventorizacija ir teisinė registracija</t>
  </si>
  <si>
    <t>Ikimokyklinių įstaigų remontas, šalinant higienos normų reikalavimų trūkumus</t>
  </si>
  <si>
    <t>Šlapaberžės med. punkto įrengimas</t>
  </si>
  <si>
    <t>Sirutiškio medicinos punkto remontas</t>
  </si>
  <si>
    <t>Nuotekų tvarkymo sistemos įrengimas Pavermenyje</t>
  </si>
  <si>
    <t>Investicinių projektų ir kt. dokumentų rengimas ES paramos gavimui</t>
  </si>
  <si>
    <t xml:space="preserve">Mazuto utilizavimui  </t>
  </si>
  <si>
    <t>Miesto stadiono rekonstrukcija</t>
  </si>
  <si>
    <t>Josvainių sen. Kėdainių g. vandentiekio ir nuotekų tinklų projektas</t>
  </si>
  <si>
    <t>Vaikų namų patalpų įrengimas  specialioje mokykloje</t>
  </si>
  <si>
    <t>Krakių gimnazijos katilinės kamino remontas</t>
  </si>
  <si>
    <t>Langų keitimas Šviesiojoje gimnazijoje</t>
  </si>
  <si>
    <t>Ramybės skvero rekonstrukcijos projektas</t>
  </si>
  <si>
    <t>Juodupio  sausinimo sistemos griovių priežiūra</t>
  </si>
  <si>
    <t>Laiptų į Šv. Jurgio bažnyčią remontas</t>
  </si>
  <si>
    <t>Paminklų ir atminimo vietų žuvusiems už laisvę remontas</t>
  </si>
  <si>
    <t>Inžinerinių tinklų įvedimas Pievų ir Šviesos gatvėse</t>
  </si>
  <si>
    <t>Daugiabučių namų kiemų remontas (daliniam dalyvavimui)</t>
  </si>
  <si>
    <t>J.Paukštelio pagrindinės mokyklos  remontas higienos pasui gauti</t>
  </si>
  <si>
    <t>Sporto aikštelių remontui</t>
  </si>
  <si>
    <t>Nevėžio g. Vilainių sen. apšvietimo tinklų rekonstrukcijai</t>
  </si>
  <si>
    <t>"Aušros vidurinės mokyklos sporto salės remontui ir vėdinimo sistemai</t>
  </si>
  <si>
    <t>Šlapaberžės gyv. vandentiekio tinklų remontas</t>
  </si>
  <si>
    <t>Objektų remontams pagal administracijos direktoriaus įsakymus</t>
  </si>
  <si>
    <t xml:space="preserve">                                                               Iš viso</t>
  </si>
  <si>
    <t>Dalinis dalyvavimas projektuose</t>
  </si>
  <si>
    <t xml:space="preserve"> Dotnuvos mst. bendrojo plano parengimas</t>
  </si>
  <si>
    <t>Josvainių mst. bendrojo plano rengimas</t>
  </si>
  <si>
    <t xml:space="preserve">Arnetų namo pritaikymas visuomeninei paskirčiai ir turizmo pareikiams </t>
  </si>
  <si>
    <t xml:space="preserve">Akademijos miestelio viešosios infrastruktūros plėtra </t>
  </si>
  <si>
    <t>Naujų vandentiekio ir nuotekų tinklų plėtra Tiskūnų km.</t>
  </si>
  <si>
    <t>Šėtos kultūros centro rekonstrukcija</t>
  </si>
  <si>
    <t>Apšvietimo rekonstravimas, išplėtimas ir įrengimas kaimo vietovėse</t>
  </si>
  <si>
    <t>Žaidimų aikštelių įrengimas Gudžiūnuose, Pavermenyje ir Lančiūnavoje</t>
  </si>
  <si>
    <t>Kėdainių dumblo apdorojimo įrengimas</t>
  </si>
  <si>
    <t xml:space="preserve">Kokybės vadybos sistemos diegimas savivaldybėje </t>
  </si>
  <si>
    <t>Vidaus administravimo sistemos tobulinimas savivaldybėje</t>
  </si>
  <si>
    <t>Darželio "Pasaka" rekonstravimas</t>
  </si>
  <si>
    <t>Josvainių gimnazijos rekonstravimas</t>
  </si>
  <si>
    <t>Šėtos gimnazijos rekonstravimas</t>
  </si>
  <si>
    <t>Akademijos gimnazijos rekonstrukcija</t>
  </si>
  <si>
    <t>Sklypų suformavimo prie daugiabučių namų detaliųjų planų parengimas</t>
  </si>
  <si>
    <t>Kėdainių senamiesčio kvartalų detaliųjų planų parengimas</t>
  </si>
  <si>
    <t>Savivaldybės strateginio plėtros plano iki 2020 metų parengimas</t>
  </si>
  <si>
    <t>Kėdainių m.  Budrio g. rekonstrukcija</t>
  </si>
  <si>
    <t>Apytalaukio dvaro viešosios kultūrinio turizmo infrastruktūros plėtros  techninė priež.</t>
  </si>
  <si>
    <t>Kėdainių pramoninio parko rinkodaros projektas</t>
  </si>
  <si>
    <t xml:space="preserve"> Inžinerinės infrastruktūros kūrimas Kėdainių pramoniniame parke</t>
  </si>
  <si>
    <t>Smilgos upelio ir jo krantų gamtosauginis tvarkymas</t>
  </si>
  <si>
    <t>Rekreacinių ir turizmo objektų išdėstymo specialiojo plano parengimas</t>
  </si>
  <si>
    <t>Kompleksinė Josvainių mst. viešosios  infrastruktūros plėtra</t>
  </si>
  <si>
    <t>Universalus daugiafunkcinio centro steigimas Pagirių miestalyje</t>
  </si>
  <si>
    <t>Universalus daugiafunkcinio centro steigimas Pajieslyje</t>
  </si>
  <si>
    <t>Netacionarių soc. paslaugų plėtra "Saulutė"</t>
  </si>
  <si>
    <t>Didžiosios rinkos rekonstrukcija</t>
  </si>
  <si>
    <t>Partnerystės projektas ( administracijai)</t>
  </si>
  <si>
    <t xml:space="preserve"> Vandentiekio ir nuotekų tinklų plėtra Kėdainių raj.( Josvainių mstl. ,Vainotiškių k.)</t>
  </si>
  <si>
    <t>1863 m. sukilimo muziejaus  rekonstrukcija (dalinis dalyvavimas)</t>
  </si>
  <si>
    <t>Paminklo Č.Milošo senelių Siručių kapo restauravimas (dalinis dalyvavimas)</t>
  </si>
  <si>
    <t xml:space="preserve"> Ligoninės rekonstrukcijai ir techninei priežiūrai (dalinis dalyvavimas)</t>
  </si>
  <si>
    <t>Krašto muziejaus  rekonstrukcijos  projektas (dalinis dalyvavimas)</t>
  </si>
  <si>
    <t>Respublikos g. rekonstrukcijos investicinis projektas</t>
  </si>
  <si>
    <t xml:space="preserve">                                                                         Iš viso</t>
  </si>
  <si>
    <t>Iš 2009 m. nepanaudotos paskolos lėšos</t>
  </si>
  <si>
    <t>Kėdainių švietimo įstaigų langų keitimas</t>
  </si>
  <si>
    <t>Kęstučio g. rekonstrukcija</t>
  </si>
  <si>
    <t>Vandentvarkos specialusis planas</t>
  </si>
  <si>
    <t>Šlapaberžės priešgaisrinis rezervuaro remontas</t>
  </si>
  <si>
    <t>Kėdainių kultūros centro rekonstrukcijos projektas</t>
  </si>
  <si>
    <t>Kėdainių rajono mokyklų sporto salių remontas</t>
  </si>
  <si>
    <t>Šėtos g. vandens ir kanalizacijos tinklų įrengimas ir gatvės rekonstrukcija</t>
  </si>
  <si>
    <t>Donuvėlės upeliui ir jo krantų tvarkymas</t>
  </si>
  <si>
    <t>Mokyklų ir ikimokyklinių įstaigų energetinis remontas</t>
  </si>
  <si>
    <t>Rotušės remontas</t>
  </si>
  <si>
    <t>Krakių ir Šėtos miestelių bendrųjų planų parengimas</t>
  </si>
  <si>
    <t>Vietinės reikšmės kelių ir Šiaurinio aplinkelio specialiųjų parengimas</t>
  </si>
  <si>
    <t>Labūnavos pagrindinės mokyklos Nociūnų skyriaus šildymo sistemos remontas</t>
  </si>
  <si>
    <t>Josvainių gimnazijos Kunionių skyriaus šildymo sistemos remontas</t>
  </si>
  <si>
    <t>IŠ VISO</t>
  </si>
  <si>
    <t xml:space="preserve">                                                ______________________________________</t>
  </si>
  <si>
    <t>prie 9 priedo 63 eil.</t>
  </si>
  <si>
    <t xml:space="preserve">KĖDAINIŲ RAJONO SAVIVALDYBĖS 2011 M MELIORACIJOS DARBŲ </t>
  </si>
  <si>
    <t>PROGRAMA VALSTYBINĖMS FUNKCIJOMS ATLIKTI</t>
  </si>
  <si>
    <t>tūkst. Lt</t>
  </si>
  <si>
    <t>Darbų pavadinimas</t>
  </si>
  <si>
    <t xml:space="preserve">Lėšos valstybinėms funkcijoms atlikti  (tūkst. Lt)                                                                          </t>
  </si>
  <si>
    <t>I</t>
  </si>
  <si>
    <t>REMONTO DARBAI IR PASLAUGOS                                              (pagal pridedamą sąrašą)</t>
  </si>
  <si>
    <t>1.1.</t>
  </si>
  <si>
    <t>Valstybei priklausančių drenažo sistemų rinktuvų ir kitų melioracijos statinių remontas (pagal žemės naudotojų prašymus).</t>
  </si>
  <si>
    <t>1.2.</t>
  </si>
  <si>
    <t>Avarinės būklės melioracijos ir hidrotechnikos statinių  remontas</t>
  </si>
  <si>
    <t>1.3.</t>
  </si>
  <si>
    <t xml:space="preserve">Potencialiai pavojingų hidrotechninių statinių (9-nių užtvankų, tvenkinių ir Vilainių polderio ) priežiūros ir remonto darbai. </t>
  </si>
  <si>
    <t>1.4.</t>
  </si>
  <si>
    <t>Valstybei priklausančių tiltų priežiūros ir remonto  darbai</t>
  </si>
  <si>
    <t>1.5.</t>
  </si>
  <si>
    <t>Žemės kadastro vietovės melioracinės būklės ant ortofotografinio pagrindo žemėlapio M1:10000 paruošimas ir spausdinimas</t>
  </si>
  <si>
    <t>1.6.</t>
  </si>
  <si>
    <t>Melioracijos projektinės dokumentacijos analoginės archyvinės medžiagos skenavimaas ir archyvavimas bei pritaikymas kasdieniniam naudojimui</t>
  </si>
  <si>
    <t>1.7.</t>
  </si>
  <si>
    <t>Papildomos skenuotos melioracinės projektinės planinės medžiagos susiejimas su LKS-94 koordinačių sistema, sukuriant kadastrto vietovės žemėlapį M1:2000</t>
  </si>
  <si>
    <t>1.8.</t>
  </si>
  <si>
    <t>Melioracijos ir hidrotechninių statinių kompiuterinė apskaita</t>
  </si>
  <si>
    <t>1.9.</t>
  </si>
  <si>
    <t>Griovių remonto ir priežiūros darbai (pagal įvykdytą KPP paramos sutartį</t>
  </si>
  <si>
    <t>_________________________________________________</t>
  </si>
  <si>
    <t>PROGRAMOS OBJEKTŲ SĄRAŠAS VALSTYBINĖMS FUNKCIJOMS ATLIKTI</t>
  </si>
  <si>
    <t>Eil.Nr.</t>
  </si>
  <si>
    <t>Objektų darbų pavadinimas</t>
  </si>
  <si>
    <t>Mato vienetas</t>
  </si>
  <si>
    <t>Lėšos            tūkst. Lt</t>
  </si>
  <si>
    <t>REMONTO DARBAI IR PASLAUGOS</t>
  </si>
  <si>
    <t>tūkst. Lt.</t>
  </si>
  <si>
    <t>Valstybei priklausančių drenažo sistemų rinktuvų ir kitų melioracijos statinių remontas (pagal žemės naudotojų prašymus)</t>
  </si>
  <si>
    <t xml:space="preserve">tūkst. Lt       /vnt.        </t>
  </si>
  <si>
    <t>257,9 /44</t>
  </si>
  <si>
    <t>1.1.1.</t>
  </si>
  <si>
    <t>Dotnuvos seniūnija</t>
  </si>
  <si>
    <t>1.1.1.1.</t>
  </si>
  <si>
    <t>Ūk.Saulio Serapino žemėje</t>
  </si>
  <si>
    <t>1.1.2.</t>
  </si>
  <si>
    <t>Krakių seniūnija</t>
  </si>
  <si>
    <t>1.1.2.1.</t>
  </si>
  <si>
    <t>Ūk.Reginos Gadliauskienės ir kiti gyvent.žemėje</t>
  </si>
  <si>
    <t>1.1.2.2.</t>
  </si>
  <si>
    <t>Ūk.Dianos Šepetienės žemėje</t>
  </si>
  <si>
    <t>1.1.2.3.</t>
  </si>
  <si>
    <t>Ūk.Alvydo Dziko žemėje</t>
  </si>
  <si>
    <t>1.1.2.4</t>
  </si>
  <si>
    <t>Krakių ŽŪB. žemėje</t>
  </si>
  <si>
    <t>1.1.2.5.</t>
  </si>
  <si>
    <t>Ūk.Egidijaus Meškausko žemėje</t>
  </si>
  <si>
    <t>1.1.2.6</t>
  </si>
  <si>
    <t>Ūk.Alfonso Šilkaičio</t>
  </si>
  <si>
    <t>1.1.3.</t>
  </si>
  <si>
    <t>Pernaravos seniūnija</t>
  </si>
  <si>
    <t>1.1.3.1.</t>
  </si>
  <si>
    <t>Ūk.Vytauto Morkaus žemėje</t>
  </si>
  <si>
    <t>1.1.3.2.</t>
  </si>
  <si>
    <t>Ūk.Gražinos Satkauskienės žemėje</t>
  </si>
  <si>
    <t>1.1.3.3.</t>
  </si>
  <si>
    <t>Ūk.Alberto Gogolinsko žemėje</t>
  </si>
  <si>
    <t>1.1.3.4</t>
  </si>
  <si>
    <t>Ūk.Ingos Vareikienės žemėje</t>
  </si>
  <si>
    <t>1.1.3.5</t>
  </si>
  <si>
    <t>Ūk.Eugenijaus Kasiulio žemėje</t>
  </si>
  <si>
    <t>1.1.3.6</t>
  </si>
  <si>
    <t>Ūk.Felikso Vaitelio žemėje</t>
  </si>
  <si>
    <t>1.1.3.7</t>
  </si>
  <si>
    <t>Ūk.Arvydo Gudžiūno žemėje</t>
  </si>
  <si>
    <t>1.1.3.8</t>
  </si>
  <si>
    <t>Ūk.Zigmas Ričkaus ir kitų gyvent žemėje</t>
  </si>
  <si>
    <t>1.1.3.9</t>
  </si>
  <si>
    <t>Ūk.Julijos Jankūnienės žemėje</t>
  </si>
  <si>
    <t>1.1.4.</t>
  </si>
  <si>
    <t>Josvainių seniūnija</t>
  </si>
  <si>
    <t>1.1.4.1.</t>
  </si>
  <si>
    <t>Ūk.Broniaus Zabotkos žemėje</t>
  </si>
  <si>
    <t>1.1.4.2.</t>
  </si>
  <si>
    <t>Ūk.Teresės Blinstrubienės žemėje</t>
  </si>
  <si>
    <t>1.1.4.3</t>
  </si>
  <si>
    <t>Ūk.Vlado Karabanovo žemėje</t>
  </si>
  <si>
    <t>1.1.4.4</t>
  </si>
  <si>
    <t>Ūk.Antano Staškevičiaus žemėje</t>
  </si>
  <si>
    <t>1.1.4.5</t>
  </si>
  <si>
    <t>Ūk.Jurgitos Špokienės ir kitų gyvent.žemėje</t>
  </si>
  <si>
    <t>1.1.4.6</t>
  </si>
  <si>
    <t>Ūk.Rimanto Radimono žemėje</t>
  </si>
  <si>
    <t>1.1.5.</t>
  </si>
  <si>
    <t>Gudžiūnų seniūnija</t>
  </si>
  <si>
    <t>1.1.5.1.</t>
  </si>
  <si>
    <t>Ūk.Arūno Svatikos žemėje</t>
  </si>
  <si>
    <t>1.1.5.2.</t>
  </si>
  <si>
    <t>Ūk.Vaidoto Žičiaus žemėje</t>
  </si>
  <si>
    <t>1.1.5.3</t>
  </si>
  <si>
    <t>Ūk.Gitanos Damaševičienės ir kitų naudot.</t>
  </si>
  <si>
    <t>1.1.6.</t>
  </si>
  <si>
    <t>Pelėdnagių seniūnija</t>
  </si>
  <si>
    <t>1.1.6.1.</t>
  </si>
  <si>
    <t>Ūk.Juozo Naruševičiaus žemėje</t>
  </si>
  <si>
    <t>1.1.6.2.</t>
  </si>
  <si>
    <t>Ūk.Mečio Komisoraičio žemėje</t>
  </si>
  <si>
    <t>1.1.6.3</t>
  </si>
  <si>
    <t>Ūk.Laimutės Marcinkevičienės žemėje</t>
  </si>
  <si>
    <t>1.1.6.4</t>
  </si>
  <si>
    <t>Ūk.Dalios Urbonavičienės žemėje</t>
  </si>
  <si>
    <t>1.1.7.</t>
  </si>
  <si>
    <t>Šėtos seniūnija</t>
  </si>
  <si>
    <t>1.1.7.1.</t>
  </si>
  <si>
    <t>Ūk.Irenos Raščiauskienės ir kitų gyvent.žemėje</t>
  </si>
  <si>
    <t>1.1.7.2.</t>
  </si>
  <si>
    <t>Ūk.L.Žukauskienės ir kitų gyvent.žemėje</t>
  </si>
  <si>
    <t>1.1.7.3</t>
  </si>
  <si>
    <t>Ūk.Jono Soko žemėje</t>
  </si>
  <si>
    <t>1.1.8.</t>
  </si>
  <si>
    <t>Surviliškio seniūnija</t>
  </si>
  <si>
    <t>1.1.8.1.</t>
  </si>
  <si>
    <t>Ūk.Sonatos Rindokienės žemėje</t>
  </si>
  <si>
    <t>1.1.8.2</t>
  </si>
  <si>
    <t>Ūk.Janinos Kučinskienės žemėje</t>
  </si>
  <si>
    <t>1.1.8.3</t>
  </si>
  <si>
    <t>Ūk.Irenos Marijonos Germanienės žemėje</t>
  </si>
  <si>
    <t>1.1.8.4</t>
  </si>
  <si>
    <t>Ūk.Veros Korolkovos žemėje</t>
  </si>
  <si>
    <t>1.1.8.5</t>
  </si>
  <si>
    <t>Ūk.Arūno Sereikos žemėje</t>
  </si>
  <si>
    <t>1.1.8.6</t>
  </si>
  <si>
    <t>Ūk.Dainiaus Jačunsko žemėje</t>
  </si>
  <si>
    <t>1.1.8.7</t>
  </si>
  <si>
    <t>Ūk.Arūno Snarskio žemėje</t>
  </si>
  <si>
    <t>1.1.8.8.</t>
  </si>
  <si>
    <t>Ūk.Romo Kanapecko žemėje</t>
  </si>
  <si>
    <t>1.1.9.</t>
  </si>
  <si>
    <t>Vilainių seniūnija</t>
  </si>
  <si>
    <t>1.1.9.1</t>
  </si>
  <si>
    <t>Ūk.Antano Mikalausko žemėje</t>
  </si>
  <si>
    <t>1.1.9.2</t>
  </si>
  <si>
    <t>Ūk.Gražinos Liaugminienės žemėje</t>
  </si>
  <si>
    <t>1.1.9.3</t>
  </si>
  <si>
    <t>buv.Pakeltos velėnos mel.pl.Nr.2 plote</t>
  </si>
  <si>
    <t>1.1.10.</t>
  </si>
  <si>
    <t>Truskavos seniūnija</t>
  </si>
  <si>
    <t>1.1.10.1</t>
  </si>
  <si>
    <t>Ūk.Vaido Kerbelio žemėje</t>
  </si>
  <si>
    <t>Avarinės būklės melioracijos ir  hidrotechninių statinių remontas</t>
  </si>
  <si>
    <t xml:space="preserve">Potencialiai pavojingų hidrotechninių statinių (9-nių užtvankų, tvenkinių ir Vilainių polderio ) priežiūros ir remonto darbai.          </t>
  </si>
  <si>
    <t>Melioracijos projektinė dokumentacijos analoginės archyvinės medžiagos skenavimas ir archyvavimas bei pritaikymas kasdieniniam naudojimui.</t>
  </si>
  <si>
    <t>Papildomos skenuotos melioracijos projektinė planinės medžiagos susiejimas su LKS-94 koordinačių sistema, sukuriant kadastro vietovės žemėlapį M 1:2000</t>
  </si>
  <si>
    <t>_______________________________________</t>
  </si>
  <si>
    <t>10  priedas</t>
  </si>
  <si>
    <t>2011 METŲ VALSTYBĖS BIUDŽETO SPECIALIOSIOS TIKSLINĖS DOTACIJOS SAVIVALDYBĖS BIUDŽETUI ASIGNAVIMAI</t>
  </si>
  <si>
    <t>(tūkst.Lt)</t>
  </si>
  <si>
    <t>Programos Nr.</t>
  </si>
  <si>
    <t>Iš jų</t>
  </si>
  <si>
    <t>turtui įsigyti</t>
  </si>
  <si>
    <t>iš viso</t>
  </si>
  <si>
    <t>iš jų darbo užmokesčiui</t>
  </si>
  <si>
    <t>3</t>
  </si>
  <si>
    <t>01.1</t>
  </si>
  <si>
    <t>Specialioji tikslinė dotacija mokinio krepšeliui finansuoti</t>
  </si>
  <si>
    <t>Kėdainių rajono Lančiūnavos vaikų darželis</t>
  </si>
  <si>
    <t xml:space="preserve">09.02.01.01   </t>
  </si>
  <si>
    <t>Kėdainių švietimo centras iš viso:</t>
  </si>
  <si>
    <t>44  1</t>
  </si>
  <si>
    <t xml:space="preserve">     Kėdainių švietimo centras</t>
  </si>
  <si>
    <t>44  2</t>
  </si>
  <si>
    <t xml:space="preserve">     Brandos egzaminams finansuoti</t>
  </si>
  <si>
    <t>44  3</t>
  </si>
  <si>
    <t xml:space="preserve">     Išorės auditui finansuoti</t>
  </si>
  <si>
    <t>44 4</t>
  </si>
  <si>
    <t>Šėtos socialinis ir ugdymo centras</t>
  </si>
  <si>
    <t>Kitoms savivaldybėms pagal suderinimo aktus perduotos mokinio krepšelio lėšos</t>
  </si>
  <si>
    <t>01.2</t>
  </si>
  <si>
    <t>Specialioji tikslinė dotacija iš apskričių perduotoms įstaigoms išlaikyti</t>
  </si>
  <si>
    <t>Iš viso asignavimų</t>
  </si>
  <si>
    <t xml:space="preserve">                                                         _____________________________________</t>
  </si>
  <si>
    <t>prie 5 priedo 97.1 eil.</t>
  </si>
  <si>
    <t xml:space="preserve">     Perskirstymo rezervas</t>
  </si>
  <si>
    <t xml:space="preserve">                                                                    2011 m. rugsėjo 30 d. sprendimo Nr. TS-</t>
  </si>
  <si>
    <t xml:space="preserve">                                                                   2011 m. rugsėjo 30 sprendimo Nr. TS-</t>
  </si>
  <si>
    <t xml:space="preserve">                                                           2011 m. rugsėjo 30 d. sprendimo Nr. TS-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</si>
</sst>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57" applyNumberFormat="1" applyFont="1" applyFill="1" applyBorder="1" applyAlignment="1">
      <alignment horizontal="right"/>
      <protection/>
    </xf>
    <xf numFmtId="164" fontId="2" fillId="0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 wrapText="1"/>
    </xf>
    <xf numFmtId="164" fontId="2" fillId="0" borderId="10" xfId="57" applyNumberFormat="1" applyFont="1" applyFill="1" applyBorder="1" applyAlignment="1">
      <alignment horizontal="right" vertical="center"/>
      <protection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57" applyNumberFormat="1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164" fontId="2" fillId="0" borderId="10" xfId="57" applyNumberFormat="1" applyFont="1" applyFill="1" applyBorder="1" applyAlignment="1">
      <alignment horizontal="left" vertical="center" wrapText="1"/>
      <protection/>
    </xf>
    <xf numFmtId="17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55" applyFont="1" applyFill="1" applyBorder="1" applyAlignment="1">
      <alignment wrapText="1"/>
      <protection/>
    </xf>
    <xf numFmtId="0" fontId="2" fillId="0" borderId="10" xfId="0" applyFont="1" applyFill="1" applyBorder="1" applyAlignment="1">
      <alignment vertical="center" wrapText="1"/>
    </xf>
    <xf numFmtId="49" fontId="2" fillId="0" borderId="10" xfId="57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57" applyNumberFormat="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164" fontId="2" fillId="0" borderId="10" xfId="57" applyNumberFormat="1" applyFont="1" applyFill="1" applyBorder="1" applyAlignment="1">
      <alignment vertical="center"/>
      <protection/>
    </xf>
    <xf numFmtId="164" fontId="2" fillId="0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49" fontId="2" fillId="0" borderId="10" xfId="55" applyNumberFormat="1" applyFont="1" applyFill="1" applyBorder="1" applyAlignment="1">
      <alignment horizontal="center" wrapText="1"/>
      <protection/>
    </xf>
    <xf numFmtId="164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8" fillId="0" borderId="0" xfId="0" applyFont="1" applyFill="1" applyBorder="1" applyAlignment="1">
      <alignment wrapText="1"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17" fontId="2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 wrapText="1"/>
    </xf>
    <xf numFmtId="164" fontId="2" fillId="0" borderId="15" xfId="56" applyNumberFormat="1" applyFont="1" applyFill="1" applyBorder="1" applyAlignment="1">
      <alignment vertical="center" wrapText="1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4" fontId="2" fillId="0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" fillId="0" borderId="18" xfId="0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wrapText="1"/>
    </xf>
    <xf numFmtId="16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right" wrapText="1"/>
    </xf>
    <xf numFmtId="164" fontId="13" fillId="0" borderId="11" xfId="0" applyNumberFormat="1" applyFont="1" applyFill="1" applyBorder="1" applyAlignment="1">
      <alignment horizontal="left"/>
    </xf>
    <xf numFmtId="164" fontId="2" fillId="0" borderId="10" xfId="56" applyNumberFormat="1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right"/>
    </xf>
    <xf numFmtId="0" fontId="48" fillId="0" borderId="19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žetas 6_2009 m 02 men biudzetas." xfId="55"/>
    <cellStyle name="Normal_Sheet1" xfId="56"/>
    <cellStyle name="Normal_Sheet1_2009 m 02 men biudzetas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S193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421875" style="1" customWidth="1"/>
    <col min="2" max="2" width="5.00390625" style="1" customWidth="1"/>
    <col min="3" max="3" width="45.57421875" style="1" customWidth="1"/>
    <col min="4" max="4" width="9.57421875" style="4" customWidth="1"/>
    <col min="5" max="5" width="7.8515625" style="1" customWidth="1"/>
    <col min="6" max="6" width="7.57421875" style="1" customWidth="1"/>
    <col min="7" max="7" width="10.28125" style="1" customWidth="1"/>
    <col min="8" max="8" width="7.00390625" style="1" customWidth="1"/>
    <col min="9" max="9" width="9.57421875" style="2" customWidth="1"/>
    <col min="10" max="16384" width="9.140625" style="1" customWidth="1"/>
  </cols>
  <sheetData>
    <row r="1" spans="3:8" ht="15.75" customHeight="1">
      <c r="C1" s="159" t="s">
        <v>0</v>
      </c>
      <c r="D1" s="159"/>
      <c r="E1" s="159"/>
      <c r="F1" s="159"/>
      <c r="G1" s="159"/>
      <c r="H1" s="159"/>
    </row>
    <row r="2" spans="3:8" ht="15.75" customHeight="1">
      <c r="C2" s="159" t="s">
        <v>498</v>
      </c>
      <c r="D2" s="159"/>
      <c r="E2" s="159"/>
      <c r="F2" s="159"/>
      <c r="G2" s="159"/>
      <c r="H2" s="159"/>
    </row>
    <row r="3" spans="2:9" ht="15.75">
      <c r="B3" s="3"/>
      <c r="E3" s="160" t="s">
        <v>1</v>
      </c>
      <c r="F3" s="160"/>
      <c r="G3" s="160"/>
      <c r="H3" s="160"/>
      <c r="I3" s="1"/>
    </row>
    <row r="4" spans="1:9" ht="12.75" customHeight="1">
      <c r="A4" s="161"/>
      <c r="B4" s="161"/>
      <c r="C4" s="161"/>
      <c r="D4" s="161"/>
      <c r="E4" s="161"/>
      <c r="F4" s="161"/>
      <c r="G4" s="161"/>
      <c r="H4" s="161"/>
      <c r="I4" s="1"/>
    </row>
    <row r="5" spans="1:9" ht="25.5" customHeight="1">
      <c r="A5" s="162" t="s">
        <v>2</v>
      </c>
      <c r="B5" s="162"/>
      <c r="C5" s="162"/>
      <c r="D5" s="162"/>
      <c r="E5" s="162"/>
      <c r="F5" s="162"/>
      <c r="G5" s="162"/>
      <c r="H5" s="162"/>
      <c r="I5" s="1"/>
    </row>
    <row r="6" spans="2:9" ht="12.75">
      <c r="B6" s="3"/>
      <c r="E6" s="5"/>
      <c r="F6" s="5"/>
      <c r="G6" s="163" t="s">
        <v>3</v>
      </c>
      <c r="H6" s="163"/>
      <c r="I6" s="1"/>
    </row>
    <row r="7" spans="1:9" ht="12.75" customHeight="1">
      <c r="A7" s="158" t="s">
        <v>4</v>
      </c>
      <c r="B7" s="165" t="s">
        <v>5</v>
      </c>
      <c r="C7" s="158" t="s">
        <v>6</v>
      </c>
      <c r="D7" s="166" t="s">
        <v>7</v>
      </c>
      <c r="E7" s="158" t="s">
        <v>8</v>
      </c>
      <c r="F7" s="157" t="s">
        <v>9</v>
      </c>
      <c r="G7" s="157"/>
      <c r="H7" s="157"/>
      <c r="I7" s="1"/>
    </row>
    <row r="8" spans="1:9" ht="12.75" customHeight="1">
      <c r="A8" s="164"/>
      <c r="B8" s="165"/>
      <c r="C8" s="158"/>
      <c r="D8" s="167"/>
      <c r="E8" s="158"/>
      <c r="F8" s="157" t="s">
        <v>10</v>
      </c>
      <c r="G8" s="157"/>
      <c r="H8" s="158" t="s">
        <v>11</v>
      </c>
      <c r="I8" s="1"/>
    </row>
    <row r="9" spans="1:9" ht="46.5" customHeight="1">
      <c r="A9" s="164"/>
      <c r="B9" s="165"/>
      <c r="C9" s="158"/>
      <c r="D9" s="168"/>
      <c r="E9" s="158"/>
      <c r="F9" s="6" t="s">
        <v>8</v>
      </c>
      <c r="G9" s="7" t="s">
        <v>12</v>
      </c>
      <c r="H9" s="158"/>
      <c r="I9" s="1"/>
    </row>
    <row r="10" spans="1:9" ht="12.75">
      <c r="A10" s="8">
        <v>1</v>
      </c>
      <c r="B10" s="9" t="s">
        <v>13</v>
      </c>
      <c r="C10" s="6">
        <v>3</v>
      </c>
      <c r="D10" s="10">
        <v>4</v>
      </c>
      <c r="E10" s="6">
        <v>5</v>
      </c>
      <c r="F10" s="6">
        <v>6</v>
      </c>
      <c r="G10" s="6">
        <v>7</v>
      </c>
      <c r="H10" s="6">
        <v>8</v>
      </c>
      <c r="I10" s="1"/>
    </row>
    <row r="11" spans="1:9" ht="12.75" customHeight="1">
      <c r="A11" s="12">
        <v>1</v>
      </c>
      <c r="B11" s="9" t="s">
        <v>14</v>
      </c>
      <c r="C11" s="93" t="s">
        <v>15</v>
      </c>
      <c r="D11" s="10"/>
      <c r="E11" s="52">
        <f>+E12+E13+E14+E15+E16+E17+E18+E19+E20+E21+E22+E23+E24+E25+E26+E27+E28+E29+E30+E31+E32+E33+E34+E35+E36+E37+E38+E39+E40+E41+E42+E43+E44+E45+E46+E47+E48+E49+E50+E51+E52+E53+E54+E55+E60</f>
        <v>23127.8</v>
      </c>
      <c r="F11" s="52">
        <f>+F12+F13+F14+F15+F16+F17+F18+F19+F20+F21+F22+F23+F24+F25+F26+F27+F28+F29+F30+F31+F32+F33+F34+F35+F36+F37+F38+F39+F40+F41+F42+F43+F44+F45+F46+F47+F48+F49+F50+F51+F52+F53+F54+F55+F60</f>
        <v>22887.8</v>
      </c>
      <c r="G11" s="52">
        <f>+G12+G13+G14+G15+G16+G17+G18+G19+G20+G21+G22+G23+G24+G25+G26+G27+G28+G29+G30+G31+G32+G33+G34+G35+G36+G37+G38+G39+G40+G41+G42+G43+G44+G45+G46+G47+G48+G49+G50+G51+G52+G53+G54+G55+G60</f>
        <v>13195.499999999998</v>
      </c>
      <c r="H11" s="52">
        <f>+H12+H13+H14+H15+H16+H17+H18+H19+H20+H21+H22+H23+H24+H25+H26+H27+H28+H29+H30+H31+H32+H33+H34+H35+H36+H37+H38+H39+H40+H41+H42+H43+H44+H45+H46+H47+H48+H49+H50+H51+H52+H53+H54+H55+H60</f>
        <v>240</v>
      </c>
      <c r="I11" s="11"/>
    </row>
    <row r="12" spans="1:9" ht="12.75" customHeight="1">
      <c r="A12" s="12">
        <v>2</v>
      </c>
      <c r="B12" s="13"/>
      <c r="C12" s="14" t="s">
        <v>16</v>
      </c>
      <c r="D12" s="15" t="s">
        <v>17</v>
      </c>
      <c r="E12" s="16">
        <f aca="true" t="shared" si="0" ref="E12:E54">+F12+H12</f>
        <v>787.3</v>
      </c>
      <c r="F12" s="17">
        <v>787.3</v>
      </c>
      <c r="G12" s="17">
        <v>509.6</v>
      </c>
      <c r="H12" s="17"/>
      <c r="I12" s="11"/>
    </row>
    <row r="13" spans="1:9" ht="12.75" customHeight="1">
      <c r="A13" s="12">
        <v>3</v>
      </c>
      <c r="B13" s="13"/>
      <c r="C13" s="14" t="s">
        <v>18</v>
      </c>
      <c r="D13" s="15" t="s">
        <v>17</v>
      </c>
      <c r="E13" s="16">
        <f t="shared" si="0"/>
        <v>686.4</v>
      </c>
      <c r="F13" s="17">
        <f>665.1+21.3</f>
        <v>686.4</v>
      </c>
      <c r="G13" s="17">
        <f>417.7+16.3</f>
        <v>434</v>
      </c>
      <c r="H13" s="17"/>
      <c r="I13" s="11"/>
    </row>
    <row r="14" spans="1:9" ht="12.75" customHeight="1">
      <c r="A14" s="12">
        <v>4</v>
      </c>
      <c r="B14" s="13"/>
      <c r="C14" s="14" t="s">
        <v>19</v>
      </c>
      <c r="D14" s="15" t="s">
        <v>17</v>
      </c>
      <c r="E14" s="16">
        <f t="shared" si="0"/>
        <v>877.8</v>
      </c>
      <c r="F14" s="17">
        <v>877.8</v>
      </c>
      <c r="G14" s="17">
        <v>560.5</v>
      </c>
      <c r="H14" s="17"/>
      <c r="I14" s="11"/>
    </row>
    <row r="15" spans="1:9" ht="12.75" customHeight="1">
      <c r="A15" s="12">
        <v>5</v>
      </c>
      <c r="B15" s="13"/>
      <c r="C15" s="14" t="s">
        <v>20</v>
      </c>
      <c r="D15" s="15" t="s">
        <v>17</v>
      </c>
      <c r="E15" s="16">
        <f t="shared" si="0"/>
        <v>706.2</v>
      </c>
      <c r="F15" s="17">
        <v>706.2</v>
      </c>
      <c r="G15" s="17">
        <v>422.2</v>
      </c>
      <c r="H15" s="17"/>
      <c r="I15" s="11"/>
    </row>
    <row r="16" spans="1:9" ht="12.75" customHeight="1">
      <c r="A16" s="12">
        <v>6</v>
      </c>
      <c r="B16" s="13"/>
      <c r="C16" s="18" t="s">
        <v>21</v>
      </c>
      <c r="D16" s="15" t="s">
        <v>17</v>
      </c>
      <c r="E16" s="16">
        <f t="shared" si="0"/>
        <v>320.7</v>
      </c>
      <c r="F16" s="17">
        <v>320.7</v>
      </c>
      <c r="G16" s="17">
        <v>169.2</v>
      </c>
      <c r="H16" s="17"/>
      <c r="I16" s="11"/>
    </row>
    <row r="17" spans="1:9" ht="12.75" customHeight="1">
      <c r="A17" s="12">
        <v>7</v>
      </c>
      <c r="B17" s="13"/>
      <c r="C17" s="18" t="s">
        <v>22</v>
      </c>
      <c r="D17" s="15" t="s">
        <v>17</v>
      </c>
      <c r="E17" s="16">
        <f t="shared" si="0"/>
        <v>159.7</v>
      </c>
      <c r="F17" s="17">
        <v>159.7</v>
      </c>
      <c r="G17" s="17">
        <v>89.2</v>
      </c>
      <c r="H17" s="17"/>
      <c r="I17" s="11"/>
    </row>
    <row r="18" spans="1:9" ht="12.75" customHeight="1">
      <c r="A18" s="12">
        <v>8</v>
      </c>
      <c r="B18" s="13"/>
      <c r="C18" s="14" t="s">
        <v>23</v>
      </c>
      <c r="D18" s="15" t="s">
        <v>17</v>
      </c>
      <c r="E18" s="16">
        <f t="shared" si="0"/>
        <v>360.8</v>
      </c>
      <c r="F18" s="17">
        <v>360.8</v>
      </c>
      <c r="G18" s="17">
        <v>253.1</v>
      </c>
      <c r="H18" s="17"/>
      <c r="I18" s="11"/>
    </row>
    <row r="19" spans="1:9" ht="12.75" customHeight="1">
      <c r="A19" s="12">
        <v>9</v>
      </c>
      <c r="B19" s="13"/>
      <c r="C19" s="14" t="s">
        <v>24</v>
      </c>
      <c r="D19" s="15" t="s">
        <v>25</v>
      </c>
      <c r="E19" s="16">
        <f t="shared" si="0"/>
        <v>671.5</v>
      </c>
      <c r="F19" s="17">
        <f>632.9+38.6</f>
        <v>671.5</v>
      </c>
      <c r="G19" s="17">
        <f>388.6+6.7</f>
        <v>395.3</v>
      </c>
      <c r="H19" s="17"/>
      <c r="I19" s="11"/>
    </row>
    <row r="20" spans="1:9" ht="12.75" customHeight="1">
      <c r="A20" s="12">
        <v>10</v>
      </c>
      <c r="B20" s="13"/>
      <c r="C20" s="14" t="s">
        <v>26</v>
      </c>
      <c r="D20" s="15" t="s">
        <v>25</v>
      </c>
      <c r="E20" s="16">
        <f t="shared" si="0"/>
        <v>583.5</v>
      </c>
      <c r="F20" s="17">
        <f>546.8+36.7</f>
        <v>583.5</v>
      </c>
      <c r="G20" s="17">
        <f>319.8+28</f>
        <v>347.8</v>
      </c>
      <c r="H20" s="17"/>
      <c r="I20" s="11"/>
    </row>
    <row r="21" spans="1:9" ht="12.75" customHeight="1">
      <c r="A21" s="12">
        <v>11</v>
      </c>
      <c r="B21" s="13"/>
      <c r="C21" s="14" t="s">
        <v>27</v>
      </c>
      <c r="D21" s="15" t="s">
        <v>25</v>
      </c>
      <c r="E21" s="16">
        <f t="shared" si="0"/>
        <v>576.6</v>
      </c>
      <c r="F21" s="17">
        <v>576.6</v>
      </c>
      <c r="G21" s="17">
        <v>335.2</v>
      </c>
      <c r="H21" s="17"/>
      <c r="I21" s="11"/>
    </row>
    <row r="22" spans="1:9" ht="12.75" customHeight="1">
      <c r="A22" s="12">
        <v>12</v>
      </c>
      <c r="B22" s="13"/>
      <c r="C22" s="18" t="s">
        <v>28</v>
      </c>
      <c r="D22" s="15" t="s">
        <v>25</v>
      </c>
      <c r="E22" s="16">
        <f t="shared" si="0"/>
        <v>449.7</v>
      </c>
      <c r="F22" s="17">
        <v>449.7</v>
      </c>
      <c r="G22" s="17">
        <v>277.9</v>
      </c>
      <c r="H22" s="17"/>
      <c r="I22" s="11"/>
    </row>
    <row r="23" spans="1:9" ht="12.75" customHeight="1">
      <c r="A23" s="12">
        <v>13</v>
      </c>
      <c r="B23" s="13"/>
      <c r="C23" s="18" t="s">
        <v>29</v>
      </c>
      <c r="D23" s="15" t="s">
        <v>25</v>
      </c>
      <c r="E23" s="16">
        <f t="shared" si="0"/>
        <v>363.5</v>
      </c>
      <c r="F23" s="17">
        <v>363.5</v>
      </c>
      <c r="G23" s="17">
        <v>211.9</v>
      </c>
      <c r="H23" s="17"/>
      <c r="I23" s="11"/>
    </row>
    <row r="24" spans="1:9" ht="12.75" customHeight="1">
      <c r="A24" s="12">
        <v>14</v>
      </c>
      <c r="B24" s="13"/>
      <c r="C24" s="18" t="s">
        <v>30</v>
      </c>
      <c r="D24" s="15" t="s">
        <v>25</v>
      </c>
      <c r="E24" s="16">
        <f t="shared" si="0"/>
        <v>542.2</v>
      </c>
      <c r="F24" s="17">
        <f>537.2+5</f>
        <v>542.2</v>
      </c>
      <c r="G24" s="17">
        <v>312.9</v>
      </c>
      <c r="H24" s="17"/>
      <c r="I24" s="11"/>
    </row>
    <row r="25" spans="1:9" ht="12.75" customHeight="1">
      <c r="A25" s="12">
        <v>15</v>
      </c>
      <c r="B25" s="13"/>
      <c r="C25" s="14" t="s">
        <v>31</v>
      </c>
      <c r="D25" s="15" t="s">
        <v>32</v>
      </c>
      <c r="E25" s="16">
        <f t="shared" si="0"/>
        <v>700.8</v>
      </c>
      <c r="F25" s="17">
        <v>700.8</v>
      </c>
      <c r="G25" s="17">
        <v>360.5</v>
      </c>
      <c r="H25" s="17"/>
      <c r="I25" s="11"/>
    </row>
    <row r="26" spans="1:9" ht="12.75" customHeight="1">
      <c r="A26" s="12">
        <v>16</v>
      </c>
      <c r="B26" s="13"/>
      <c r="C26" s="14" t="s">
        <v>33</v>
      </c>
      <c r="D26" s="15" t="s">
        <v>32</v>
      </c>
      <c r="E26" s="16">
        <f t="shared" si="0"/>
        <v>445.6</v>
      </c>
      <c r="F26" s="17">
        <v>445.6</v>
      </c>
      <c r="G26" s="17">
        <v>224.7</v>
      </c>
      <c r="H26" s="17"/>
      <c r="I26" s="11"/>
    </row>
    <row r="27" spans="1:9" ht="12.75" customHeight="1">
      <c r="A27" s="12">
        <v>17</v>
      </c>
      <c r="B27" s="13"/>
      <c r="C27" s="20" t="s">
        <v>34</v>
      </c>
      <c r="D27" s="15" t="s">
        <v>32</v>
      </c>
      <c r="E27" s="16">
        <f t="shared" si="0"/>
        <v>658.1</v>
      </c>
      <c r="F27" s="17">
        <f>654.1+4</f>
        <v>658.1</v>
      </c>
      <c r="G27" s="17">
        <f>317.6+3.1</f>
        <v>320.70000000000005</v>
      </c>
      <c r="H27" s="17"/>
      <c r="I27" s="11"/>
    </row>
    <row r="28" spans="1:9" ht="12.75" customHeight="1">
      <c r="A28" s="12">
        <v>18</v>
      </c>
      <c r="B28" s="13"/>
      <c r="C28" s="20" t="s">
        <v>35</v>
      </c>
      <c r="D28" s="15" t="s">
        <v>32</v>
      </c>
      <c r="E28" s="16">
        <f t="shared" si="0"/>
        <v>531.7</v>
      </c>
      <c r="F28" s="17">
        <f>524.7+7</f>
        <v>531.7</v>
      </c>
      <c r="G28" s="17">
        <f>263.9+3.2</f>
        <v>267.09999999999997</v>
      </c>
      <c r="H28" s="17"/>
      <c r="I28" s="11"/>
    </row>
    <row r="29" spans="1:9" ht="12.75" customHeight="1">
      <c r="A29" s="12">
        <v>19</v>
      </c>
      <c r="B29" s="13"/>
      <c r="C29" s="18" t="s">
        <v>36</v>
      </c>
      <c r="D29" s="15" t="s">
        <v>32</v>
      </c>
      <c r="E29" s="16">
        <f t="shared" si="0"/>
        <v>1001.6</v>
      </c>
      <c r="F29" s="17">
        <v>1001.6</v>
      </c>
      <c r="G29" s="17">
        <v>540.2</v>
      </c>
      <c r="H29" s="17"/>
      <c r="I29" s="11"/>
    </row>
    <row r="30" spans="1:9" ht="12.75" customHeight="1">
      <c r="A30" s="12">
        <v>20</v>
      </c>
      <c r="B30" s="13"/>
      <c r="C30" s="19" t="s">
        <v>37</v>
      </c>
      <c r="D30" s="15" t="s">
        <v>32</v>
      </c>
      <c r="E30" s="16">
        <f t="shared" si="0"/>
        <v>550.9</v>
      </c>
      <c r="F30" s="17">
        <v>550.9</v>
      </c>
      <c r="G30" s="17">
        <v>262.4</v>
      </c>
      <c r="H30" s="17"/>
      <c r="I30" s="11"/>
    </row>
    <row r="31" spans="1:9" ht="12.75" customHeight="1">
      <c r="A31" s="12">
        <v>21</v>
      </c>
      <c r="B31" s="13"/>
      <c r="C31" s="18" t="s">
        <v>38</v>
      </c>
      <c r="D31" s="15" t="s">
        <v>32</v>
      </c>
      <c r="E31" s="16">
        <f t="shared" si="0"/>
        <v>179.8</v>
      </c>
      <c r="F31" s="17">
        <v>179.8</v>
      </c>
      <c r="G31" s="17">
        <v>85</v>
      </c>
      <c r="H31" s="17"/>
      <c r="I31" s="11"/>
    </row>
    <row r="32" spans="1:9" ht="12.75" customHeight="1">
      <c r="A32" s="12">
        <v>22</v>
      </c>
      <c r="B32" s="13"/>
      <c r="C32" s="19" t="s">
        <v>39</v>
      </c>
      <c r="D32" s="15" t="s">
        <v>32</v>
      </c>
      <c r="E32" s="16">
        <f t="shared" si="0"/>
        <v>761.6</v>
      </c>
      <c r="F32" s="17">
        <v>761.6</v>
      </c>
      <c r="G32" s="17">
        <v>361.3</v>
      </c>
      <c r="H32" s="17"/>
      <c r="I32" s="11"/>
    </row>
    <row r="33" spans="1:9" ht="12.75" customHeight="1">
      <c r="A33" s="12">
        <v>23</v>
      </c>
      <c r="B33" s="13"/>
      <c r="C33" s="19" t="s">
        <v>40</v>
      </c>
      <c r="D33" s="15" t="s">
        <v>32</v>
      </c>
      <c r="E33" s="16">
        <f t="shared" si="0"/>
        <v>668.7</v>
      </c>
      <c r="F33" s="17">
        <v>668.7</v>
      </c>
      <c r="G33" s="17">
        <v>313.5</v>
      </c>
      <c r="H33" s="17"/>
      <c r="I33" s="11"/>
    </row>
    <row r="34" spans="1:9" ht="12.75" customHeight="1">
      <c r="A34" s="12">
        <v>24</v>
      </c>
      <c r="B34" s="13"/>
      <c r="C34" s="20" t="s">
        <v>41</v>
      </c>
      <c r="D34" s="15" t="s">
        <v>42</v>
      </c>
      <c r="E34" s="21">
        <f t="shared" si="0"/>
        <v>652.5</v>
      </c>
      <c r="F34" s="22">
        <v>652.5</v>
      </c>
      <c r="G34" s="22">
        <v>293.7</v>
      </c>
      <c r="H34" s="22"/>
      <c r="I34" s="11"/>
    </row>
    <row r="35" spans="1:9" ht="12.75" customHeight="1">
      <c r="A35" s="12">
        <v>25</v>
      </c>
      <c r="B35" s="13"/>
      <c r="C35" s="20" t="s">
        <v>43</v>
      </c>
      <c r="D35" s="15" t="s">
        <v>42</v>
      </c>
      <c r="E35" s="16">
        <f t="shared" si="0"/>
        <v>526.4</v>
      </c>
      <c r="F35" s="17">
        <f>521+5.4</f>
        <v>526.4</v>
      </c>
      <c r="G35" s="17">
        <f>184.4+2.7</f>
        <v>187.1</v>
      </c>
      <c r="H35" s="17"/>
      <c r="I35" s="11"/>
    </row>
    <row r="36" spans="1:9" ht="12.75" customHeight="1">
      <c r="A36" s="12">
        <v>26</v>
      </c>
      <c r="B36" s="13"/>
      <c r="C36" s="20" t="s">
        <v>44</v>
      </c>
      <c r="D36" s="15" t="s">
        <v>42</v>
      </c>
      <c r="E36" s="16">
        <f t="shared" si="0"/>
        <v>206.4</v>
      </c>
      <c r="F36" s="17">
        <f>217.7-6.2+16.4-21.5</f>
        <v>206.4</v>
      </c>
      <c r="G36" s="17">
        <f>131.3-4.2+12.5-29.1-13</f>
        <v>97.50000000000003</v>
      </c>
      <c r="H36" s="17"/>
      <c r="I36" s="11"/>
    </row>
    <row r="37" spans="1:9" ht="12.75" customHeight="1">
      <c r="A37" s="12">
        <v>27</v>
      </c>
      <c r="B37" s="13"/>
      <c r="C37" s="20" t="s">
        <v>45</v>
      </c>
      <c r="D37" s="15" t="s">
        <v>42</v>
      </c>
      <c r="E37" s="16">
        <f t="shared" si="0"/>
        <v>349.7</v>
      </c>
      <c r="F37" s="17">
        <f>345.3+4.4</f>
        <v>349.7</v>
      </c>
      <c r="G37" s="17">
        <f>191.4+3.4</f>
        <v>194.8</v>
      </c>
      <c r="H37" s="17"/>
      <c r="I37" s="11"/>
    </row>
    <row r="38" spans="1:9" ht="25.5" customHeight="1">
      <c r="A38" s="12">
        <v>28</v>
      </c>
      <c r="B38" s="13"/>
      <c r="C38" s="20" t="s">
        <v>46</v>
      </c>
      <c r="D38" s="15" t="s">
        <v>42</v>
      </c>
      <c r="E38" s="16">
        <f t="shared" si="0"/>
        <v>503</v>
      </c>
      <c r="F38" s="17">
        <f>503-120</f>
        <v>383</v>
      </c>
      <c r="G38" s="17">
        <v>188</v>
      </c>
      <c r="H38" s="17">
        <v>120</v>
      </c>
      <c r="I38" s="11"/>
    </row>
    <row r="39" spans="1:9" ht="12.75" customHeight="1">
      <c r="A39" s="12">
        <v>29</v>
      </c>
      <c r="B39" s="13"/>
      <c r="C39" s="20" t="s">
        <v>47</v>
      </c>
      <c r="D39" s="15" t="s">
        <v>42</v>
      </c>
      <c r="E39" s="16">
        <f t="shared" si="0"/>
        <v>298.40000000000003</v>
      </c>
      <c r="F39" s="17">
        <f>289+58.5-21.9-27.2</f>
        <v>298.40000000000003</v>
      </c>
      <c r="G39" s="17">
        <f>153.8+44.7-16.7-33.5-4.1</f>
        <v>144.20000000000002</v>
      </c>
      <c r="H39" s="17"/>
      <c r="I39" s="11"/>
    </row>
    <row r="40" spans="1:9" ht="12.75" customHeight="1">
      <c r="A40" s="12">
        <v>30</v>
      </c>
      <c r="B40" s="13"/>
      <c r="C40" s="20" t="s">
        <v>48</v>
      </c>
      <c r="D40" s="15" t="s">
        <v>42</v>
      </c>
      <c r="E40" s="16">
        <f t="shared" si="0"/>
        <v>458.1</v>
      </c>
      <c r="F40" s="17">
        <v>458.1</v>
      </c>
      <c r="G40" s="17">
        <v>220.8</v>
      </c>
      <c r="H40" s="17"/>
      <c r="I40" s="11"/>
    </row>
    <row r="41" spans="1:9" ht="12.75" customHeight="1">
      <c r="A41" s="12">
        <v>31</v>
      </c>
      <c r="B41" s="13"/>
      <c r="C41" s="20" t="s">
        <v>49</v>
      </c>
      <c r="D41" s="15" t="s">
        <v>42</v>
      </c>
      <c r="E41" s="16">
        <f t="shared" si="0"/>
        <v>231.2</v>
      </c>
      <c r="F41" s="17">
        <v>231.2</v>
      </c>
      <c r="G41" s="17">
        <v>109.8</v>
      </c>
      <c r="H41" s="17"/>
      <c r="I41" s="11"/>
    </row>
    <row r="42" spans="1:9" ht="12.75" customHeight="1">
      <c r="A42" s="12">
        <v>32</v>
      </c>
      <c r="B42" s="13"/>
      <c r="C42" s="20" t="s">
        <v>50</v>
      </c>
      <c r="D42" s="15" t="s">
        <v>42</v>
      </c>
      <c r="E42" s="16">
        <f t="shared" si="0"/>
        <v>232.3</v>
      </c>
      <c r="F42" s="17">
        <v>232.3</v>
      </c>
      <c r="G42" s="17">
        <v>126.2</v>
      </c>
      <c r="H42" s="17"/>
      <c r="I42" s="11"/>
    </row>
    <row r="43" spans="1:9" ht="12.75" customHeight="1">
      <c r="A43" s="12">
        <v>33</v>
      </c>
      <c r="B43" s="13"/>
      <c r="C43" s="23" t="s">
        <v>51</v>
      </c>
      <c r="D43" s="15" t="s">
        <v>42</v>
      </c>
      <c r="E43" s="16">
        <f t="shared" si="0"/>
        <v>304.8</v>
      </c>
      <c r="F43" s="17">
        <v>304.8</v>
      </c>
      <c r="G43" s="17">
        <v>158.4</v>
      </c>
      <c r="H43" s="17"/>
      <c r="I43" s="11"/>
    </row>
    <row r="44" spans="1:9" ht="12.75" customHeight="1">
      <c r="A44" s="12">
        <v>34</v>
      </c>
      <c r="B44" s="13"/>
      <c r="C44" s="20" t="s">
        <v>52</v>
      </c>
      <c r="D44" s="15" t="s">
        <v>42</v>
      </c>
      <c r="E44" s="16">
        <f t="shared" si="0"/>
        <v>332.6</v>
      </c>
      <c r="F44" s="17">
        <v>332.6</v>
      </c>
      <c r="G44" s="17">
        <v>182.6</v>
      </c>
      <c r="H44" s="17"/>
      <c r="I44" s="11"/>
    </row>
    <row r="45" spans="1:9" ht="12.75" customHeight="1">
      <c r="A45" s="12">
        <v>35</v>
      </c>
      <c r="B45" s="13"/>
      <c r="C45" s="20" t="s">
        <v>53</v>
      </c>
      <c r="D45" s="15" t="s">
        <v>42</v>
      </c>
      <c r="E45" s="16">
        <f t="shared" si="0"/>
        <v>225.3</v>
      </c>
      <c r="F45" s="17">
        <v>225.3</v>
      </c>
      <c r="G45" s="17">
        <v>139.3</v>
      </c>
      <c r="H45" s="17"/>
      <c r="I45" s="11"/>
    </row>
    <row r="46" spans="1:9" ht="12.75" customHeight="1">
      <c r="A46" s="12">
        <v>36</v>
      </c>
      <c r="B46" s="13"/>
      <c r="C46" s="20" t="s">
        <v>54</v>
      </c>
      <c r="D46" s="15" t="s">
        <v>42</v>
      </c>
      <c r="E46" s="16">
        <f t="shared" si="0"/>
        <v>443.7</v>
      </c>
      <c r="F46" s="17">
        <f>445.5-120-1.8</f>
        <v>323.7</v>
      </c>
      <c r="G46" s="17">
        <v>165.6</v>
      </c>
      <c r="H46" s="17">
        <v>120</v>
      </c>
      <c r="I46" s="11"/>
    </row>
    <row r="47" spans="1:9" ht="25.5" customHeight="1">
      <c r="A47" s="12">
        <v>37</v>
      </c>
      <c r="B47" s="13"/>
      <c r="C47" s="19" t="s">
        <v>55</v>
      </c>
      <c r="D47" s="24" t="s">
        <v>56</v>
      </c>
      <c r="E47" s="16">
        <f t="shared" si="0"/>
        <v>426.2</v>
      </c>
      <c r="F47" s="17">
        <v>426.2</v>
      </c>
      <c r="G47" s="17">
        <v>253.9</v>
      </c>
      <c r="H47" s="17"/>
      <c r="I47" s="11"/>
    </row>
    <row r="48" spans="1:9" ht="12.75" customHeight="1">
      <c r="A48" s="12">
        <v>38</v>
      </c>
      <c r="B48" s="13"/>
      <c r="C48" s="19" t="s">
        <v>57</v>
      </c>
      <c r="D48" s="15" t="s">
        <v>58</v>
      </c>
      <c r="E48" s="16">
        <f t="shared" si="0"/>
        <v>403.5</v>
      </c>
      <c r="F48" s="17">
        <v>403.5</v>
      </c>
      <c r="G48" s="17">
        <v>313.1</v>
      </c>
      <c r="H48" s="17"/>
      <c r="I48" s="11"/>
    </row>
    <row r="49" spans="1:9" ht="12.75" customHeight="1">
      <c r="A49" s="12">
        <v>39</v>
      </c>
      <c r="B49" s="13"/>
      <c r="C49" s="19" t="s">
        <v>59</v>
      </c>
      <c r="D49" s="15" t="s">
        <v>58</v>
      </c>
      <c r="E49" s="16">
        <f t="shared" si="0"/>
        <v>578.5</v>
      </c>
      <c r="F49" s="17">
        <v>578.5</v>
      </c>
      <c r="G49" s="17">
        <v>448.9</v>
      </c>
      <c r="H49" s="17"/>
      <c r="I49" s="11"/>
    </row>
    <row r="50" spans="1:9" ht="12.75" customHeight="1">
      <c r="A50" s="12">
        <v>40</v>
      </c>
      <c r="B50" s="13"/>
      <c r="C50" s="19" t="s">
        <v>60</v>
      </c>
      <c r="D50" s="15" t="s">
        <v>58</v>
      </c>
      <c r="E50" s="16">
        <f t="shared" si="0"/>
        <v>1819.9</v>
      </c>
      <c r="F50" s="17">
        <v>1819.9</v>
      </c>
      <c r="G50" s="17">
        <v>1412.2</v>
      </c>
      <c r="H50" s="17"/>
      <c r="I50" s="11"/>
    </row>
    <row r="51" spans="1:9" ht="12.75" customHeight="1">
      <c r="A51" s="12">
        <v>41</v>
      </c>
      <c r="B51" s="13"/>
      <c r="C51" s="19" t="s">
        <v>61</v>
      </c>
      <c r="D51" s="15" t="s">
        <v>58</v>
      </c>
      <c r="E51" s="16">
        <f t="shared" si="0"/>
        <v>1454.6</v>
      </c>
      <c r="F51" s="17">
        <v>1454.6</v>
      </c>
      <c r="G51" s="17">
        <v>807</v>
      </c>
      <c r="H51" s="17"/>
      <c r="I51" s="11"/>
    </row>
    <row r="52" spans="1:9" ht="12.75" customHeight="1">
      <c r="A52" s="12">
        <v>42</v>
      </c>
      <c r="B52" s="13"/>
      <c r="C52" s="19" t="s">
        <v>62</v>
      </c>
      <c r="D52" s="15" t="s">
        <v>58</v>
      </c>
      <c r="E52" s="16">
        <f t="shared" si="0"/>
        <v>311.8</v>
      </c>
      <c r="F52" s="17">
        <v>311.8</v>
      </c>
      <c r="G52" s="17">
        <v>211.3</v>
      </c>
      <c r="H52" s="17"/>
      <c r="I52" s="11"/>
    </row>
    <row r="53" spans="1:9" ht="12.75" customHeight="1">
      <c r="A53" s="12">
        <v>43</v>
      </c>
      <c r="B53" s="13"/>
      <c r="C53" s="25" t="s">
        <v>63</v>
      </c>
      <c r="D53" s="15" t="s">
        <v>17</v>
      </c>
      <c r="E53" s="16">
        <f t="shared" si="0"/>
        <v>175</v>
      </c>
      <c r="F53" s="17">
        <v>175</v>
      </c>
      <c r="G53" s="17">
        <v>106</v>
      </c>
      <c r="H53" s="17"/>
      <c r="I53" s="11"/>
    </row>
    <row r="54" spans="1:9" ht="12.75" customHeight="1">
      <c r="A54" s="12">
        <v>44</v>
      </c>
      <c r="B54" s="13"/>
      <c r="C54" s="25" t="s">
        <v>64</v>
      </c>
      <c r="D54" s="15" t="s">
        <v>17</v>
      </c>
      <c r="E54" s="16">
        <f t="shared" si="0"/>
        <v>153.2</v>
      </c>
      <c r="F54" s="17">
        <v>153.2</v>
      </c>
      <c r="G54" s="17">
        <v>97.9</v>
      </c>
      <c r="H54" s="17"/>
      <c r="I54" s="11"/>
    </row>
    <row r="55" spans="1:19" ht="12.75" customHeight="1">
      <c r="A55" s="12">
        <v>45</v>
      </c>
      <c r="B55" s="13"/>
      <c r="C55" s="23" t="s">
        <v>65</v>
      </c>
      <c r="D55" s="15"/>
      <c r="E55" s="16">
        <f>SUM(E57:E59)</f>
        <v>422.09999999999997</v>
      </c>
      <c r="F55" s="16">
        <f>SUM(F57:F59)</f>
        <v>422.09999999999997</v>
      </c>
      <c r="G55" s="16">
        <f>SUM(G57:G59)</f>
        <v>271.2</v>
      </c>
      <c r="H55" s="16">
        <f>SUM(H57:H59)</f>
        <v>0</v>
      </c>
      <c r="I55" s="11"/>
      <c r="R55" s="11"/>
      <c r="S55" s="26"/>
    </row>
    <row r="56" spans="1:19" ht="12.75" customHeight="1">
      <c r="A56" s="12"/>
      <c r="B56" s="13"/>
      <c r="C56" s="27" t="s">
        <v>66</v>
      </c>
      <c r="D56" s="15"/>
      <c r="E56" s="16"/>
      <c r="F56" s="16"/>
      <c r="G56" s="16"/>
      <c r="H56" s="16"/>
      <c r="I56" s="11"/>
      <c r="R56" s="11"/>
      <c r="S56" s="26"/>
    </row>
    <row r="57" spans="1:19" ht="25.5" customHeight="1">
      <c r="A57" s="28" t="s">
        <v>67</v>
      </c>
      <c r="B57" s="13"/>
      <c r="C57" s="19" t="s">
        <v>68</v>
      </c>
      <c r="D57" s="29" t="s">
        <v>69</v>
      </c>
      <c r="E57" s="16">
        <f>+F57+H57</f>
        <v>379.7</v>
      </c>
      <c r="F57" s="16">
        <v>379.7</v>
      </c>
      <c r="G57" s="17">
        <v>271.2</v>
      </c>
      <c r="H57" s="17"/>
      <c r="I57" s="11"/>
      <c r="J57" s="11"/>
      <c r="R57" s="11"/>
      <c r="S57" s="26"/>
    </row>
    <row r="58" spans="1:19" ht="12.75" customHeight="1">
      <c r="A58" s="30" t="s">
        <v>70</v>
      </c>
      <c r="B58" s="13"/>
      <c r="C58" s="27" t="s">
        <v>71</v>
      </c>
      <c r="D58" s="15" t="s">
        <v>72</v>
      </c>
      <c r="E58" s="16">
        <f>+F58+H58</f>
        <v>22.4</v>
      </c>
      <c r="F58" s="16">
        <v>22.4</v>
      </c>
      <c r="G58" s="17"/>
      <c r="H58" s="17"/>
      <c r="I58" s="11"/>
      <c r="R58" s="11"/>
      <c r="S58" s="26"/>
    </row>
    <row r="59" spans="1:19" ht="12.75" customHeight="1">
      <c r="A59" s="30" t="s">
        <v>73</v>
      </c>
      <c r="B59" s="13"/>
      <c r="C59" s="27" t="s">
        <v>74</v>
      </c>
      <c r="D59" s="15" t="s">
        <v>75</v>
      </c>
      <c r="E59" s="16">
        <f>+F59+H59</f>
        <v>20</v>
      </c>
      <c r="F59" s="16">
        <v>20</v>
      </c>
      <c r="G59" s="17"/>
      <c r="H59" s="17"/>
      <c r="I59" s="11"/>
      <c r="R59" s="11"/>
      <c r="S59" s="26"/>
    </row>
    <row r="60" spans="1:19" ht="25.5" customHeight="1">
      <c r="A60" s="12">
        <v>46</v>
      </c>
      <c r="B60" s="13"/>
      <c r="C60" s="31" t="s">
        <v>76</v>
      </c>
      <c r="D60" s="15" t="s">
        <v>75</v>
      </c>
      <c r="E60" s="16">
        <f>+F60+H60</f>
        <v>33.9</v>
      </c>
      <c r="F60" s="17">
        <v>33.9</v>
      </c>
      <c r="G60" s="17">
        <v>11.8</v>
      </c>
      <c r="H60" s="17"/>
      <c r="I60" s="11"/>
      <c r="R60" s="11"/>
      <c r="S60" s="26"/>
    </row>
    <row r="61" spans="1:19" ht="12.75" customHeight="1">
      <c r="A61" s="12">
        <v>47</v>
      </c>
      <c r="B61" s="9" t="s">
        <v>77</v>
      </c>
      <c r="C61" s="32" t="s">
        <v>78</v>
      </c>
      <c r="D61" s="10"/>
      <c r="E61" s="33">
        <f>+E62+E63+E71</f>
        <v>563.3</v>
      </c>
      <c r="F61" s="33">
        <f>+F62+F63+F71</f>
        <v>563.3</v>
      </c>
      <c r="G61" s="33">
        <f>+G62+G63+G71</f>
        <v>116.6</v>
      </c>
      <c r="H61" s="33">
        <f>+H62+H63+H71</f>
        <v>0</v>
      </c>
      <c r="I61" s="11"/>
      <c r="R61" s="11"/>
      <c r="S61" s="26"/>
    </row>
    <row r="62" spans="1:9" ht="28.5" customHeight="1">
      <c r="A62" s="12">
        <v>48</v>
      </c>
      <c r="B62" s="9"/>
      <c r="C62" s="34" t="s">
        <v>79</v>
      </c>
      <c r="D62" s="29" t="s">
        <v>80</v>
      </c>
      <c r="E62" s="22">
        <f>+F62+H62</f>
        <v>150.3</v>
      </c>
      <c r="F62" s="22">
        <v>150.3</v>
      </c>
      <c r="G62" s="22">
        <v>116.6</v>
      </c>
      <c r="H62" s="22"/>
      <c r="I62" s="11"/>
    </row>
    <row r="63" spans="1:9" ht="12.75" customHeight="1">
      <c r="A63" s="12">
        <v>49</v>
      </c>
      <c r="B63" s="13"/>
      <c r="C63" s="23" t="s">
        <v>65</v>
      </c>
      <c r="D63" s="24"/>
      <c r="E63" s="17">
        <f>SUM(E65:E70)</f>
        <v>290</v>
      </c>
      <c r="F63" s="17">
        <f>SUM(F65:F70)</f>
        <v>290</v>
      </c>
      <c r="G63" s="17">
        <f>SUM(G65:G70)</f>
        <v>0</v>
      </c>
      <c r="H63" s="17">
        <f>SUM(H65:H70)</f>
        <v>0</v>
      </c>
      <c r="I63" s="11"/>
    </row>
    <row r="64" spans="1:9" ht="12.75" customHeight="1">
      <c r="A64" s="12"/>
      <c r="B64" s="13"/>
      <c r="C64" s="35" t="s">
        <v>81</v>
      </c>
      <c r="D64" s="15"/>
      <c r="E64" s="17"/>
      <c r="F64" s="17"/>
      <c r="G64" s="17"/>
      <c r="H64" s="17"/>
      <c r="I64" s="11"/>
    </row>
    <row r="65" spans="1:9" ht="12.75" customHeight="1">
      <c r="A65" s="12" t="s">
        <v>82</v>
      </c>
      <c r="B65" s="13"/>
      <c r="C65" s="31" t="s">
        <v>83</v>
      </c>
      <c r="D65" s="29" t="s">
        <v>84</v>
      </c>
      <c r="E65" s="17">
        <f aca="true" t="shared" si="1" ref="E65:E71">+F65+H65</f>
        <v>157</v>
      </c>
      <c r="F65" s="17">
        <v>157</v>
      </c>
      <c r="G65" s="17"/>
      <c r="H65" s="17"/>
      <c r="I65" s="11"/>
    </row>
    <row r="66" spans="1:9" ht="25.5" customHeight="1">
      <c r="A66" s="12" t="s">
        <v>85</v>
      </c>
      <c r="B66" s="13"/>
      <c r="C66" s="31" t="s">
        <v>86</v>
      </c>
      <c r="D66" s="29" t="s">
        <v>87</v>
      </c>
      <c r="E66" s="17">
        <f t="shared" si="1"/>
        <v>40</v>
      </c>
      <c r="F66" s="17">
        <v>40</v>
      </c>
      <c r="G66" s="17"/>
      <c r="H66" s="17"/>
      <c r="I66" s="11"/>
    </row>
    <row r="67" spans="1:9" ht="25.5">
      <c r="A67" s="12" t="s">
        <v>88</v>
      </c>
      <c r="B67" s="13"/>
      <c r="C67" s="31" t="s">
        <v>89</v>
      </c>
      <c r="D67" s="29" t="s">
        <v>90</v>
      </c>
      <c r="E67" s="17">
        <f t="shared" si="1"/>
        <v>36.1</v>
      </c>
      <c r="F67" s="17">
        <v>36.1</v>
      </c>
      <c r="G67" s="17"/>
      <c r="H67" s="17"/>
      <c r="I67" s="11"/>
    </row>
    <row r="68" spans="1:9" ht="25.5" customHeight="1">
      <c r="A68" s="12" t="s">
        <v>91</v>
      </c>
      <c r="B68" s="13"/>
      <c r="C68" s="31" t="s">
        <v>92</v>
      </c>
      <c r="D68" s="29" t="s">
        <v>93</v>
      </c>
      <c r="E68" s="17">
        <f t="shared" si="1"/>
        <v>27</v>
      </c>
      <c r="F68" s="17">
        <v>27</v>
      </c>
      <c r="G68" s="17"/>
      <c r="H68" s="17"/>
      <c r="I68" s="11"/>
    </row>
    <row r="69" spans="1:9" ht="25.5" customHeight="1">
      <c r="A69" s="12" t="s">
        <v>94</v>
      </c>
      <c r="B69" s="13"/>
      <c r="C69" s="31" t="s">
        <v>95</v>
      </c>
      <c r="D69" s="29" t="s">
        <v>96</v>
      </c>
      <c r="E69" s="17">
        <f t="shared" si="1"/>
        <v>7.5</v>
      </c>
      <c r="F69" s="17">
        <v>7.5</v>
      </c>
      <c r="G69" s="17"/>
      <c r="H69" s="17"/>
      <c r="I69" s="11"/>
    </row>
    <row r="70" spans="1:9" ht="14.25" customHeight="1">
      <c r="A70" s="12" t="s">
        <v>97</v>
      </c>
      <c r="B70" s="13"/>
      <c r="C70" s="36" t="s">
        <v>98</v>
      </c>
      <c r="D70" s="24" t="s">
        <v>84</v>
      </c>
      <c r="E70" s="17">
        <f t="shared" si="1"/>
        <v>22.4</v>
      </c>
      <c r="F70" s="17">
        <v>22.4</v>
      </c>
      <c r="G70" s="17"/>
      <c r="H70" s="17"/>
      <c r="I70" s="11"/>
    </row>
    <row r="71" spans="1:9" ht="12.75" customHeight="1">
      <c r="A71" s="12">
        <v>50</v>
      </c>
      <c r="B71" s="13"/>
      <c r="C71" s="37" t="s">
        <v>99</v>
      </c>
      <c r="D71" s="29" t="s">
        <v>90</v>
      </c>
      <c r="E71" s="17">
        <f t="shared" si="1"/>
        <v>123</v>
      </c>
      <c r="F71" s="17">
        <v>123</v>
      </c>
      <c r="G71" s="17"/>
      <c r="H71" s="17"/>
      <c r="I71" s="11"/>
    </row>
    <row r="72" spans="1:9" ht="12.75" customHeight="1">
      <c r="A72" s="12">
        <v>51</v>
      </c>
      <c r="B72" s="9" t="s">
        <v>100</v>
      </c>
      <c r="C72" s="32" t="s">
        <v>101</v>
      </c>
      <c r="D72" s="10"/>
      <c r="E72" s="33">
        <f>+E73+E74+E76+E77+E78+E79+E80+E81+E82+E83+E84+E85+E86+E87+E88+E89+E90+E91</f>
        <v>8462.4</v>
      </c>
      <c r="F72" s="33">
        <f>+F73+F74+F76+F77+F78+F79+F80+F81+F82+F83+F84+F85+F86+F87+F88+F89+F90+F91</f>
        <v>8462.4</v>
      </c>
      <c r="G72" s="33">
        <f>+G73+G74+G76+G77+G78+G79+G80+G81+G82+G83+G84+G85+G86+G87+G88+G89+G90+G91</f>
        <v>1946.8000000000002</v>
      </c>
      <c r="H72" s="33">
        <f>+H73+H74+H76+H77+H78+H79+H80+H81+H82+H83+H84+H85+H86+H87+H88+H89+H90+H91</f>
        <v>0</v>
      </c>
      <c r="I72" s="11"/>
    </row>
    <row r="73" spans="1:9" ht="12.75" customHeight="1">
      <c r="A73" s="12">
        <v>52</v>
      </c>
      <c r="B73" s="13"/>
      <c r="C73" s="19" t="s">
        <v>102</v>
      </c>
      <c r="D73" s="38" t="s">
        <v>103</v>
      </c>
      <c r="E73" s="17">
        <f aca="true" t="shared" si="2" ref="E73:E90">+F73+H73</f>
        <v>744.2</v>
      </c>
      <c r="F73" s="17">
        <v>744.2</v>
      </c>
      <c r="G73" s="17">
        <v>519.2</v>
      </c>
      <c r="H73" s="17"/>
      <c r="I73" s="11"/>
    </row>
    <row r="74" spans="1:9" ht="39" customHeight="1">
      <c r="A74" s="12">
        <v>53</v>
      </c>
      <c r="B74" s="13"/>
      <c r="C74" s="19" t="s">
        <v>104</v>
      </c>
      <c r="D74" s="29" t="s">
        <v>105</v>
      </c>
      <c r="E74" s="22">
        <f t="shared" si="2"/>
        <v>1360.5</v>
      </c>
      <c r="F74" s="22">
        <v>1360.5</v>
      </c>
      <c r="G74" s="22">
        <v>604.7</v>
      </c>
      <c r="H74" s="22"/>
      <c r="I74" s="11"/>
    </row>
    <row r="75" spans="1:9" ht="12.75" customHeight="1">
      <c r="A75" s="30" t="s">
        <v>106</v>
      </c>
      <c r="B75" s="13"/>
      <c r="C75" s="39" t="s">
        <v>107</v>
      </c>
      <c r="D75" s="40"/>
      <c r="E75" s="22">
        <f t="shared" si="2"/>
        <v>515</v>
      </c>
      <c r="F75" s="22">
        <v>515</v>
      </c>
      <c r="G75" s="22"/>
      <c r="H75" s="22"/>
      <c r="I75" s="11"/>
    </row>
    <row r="76" spans="1:9" ht="12.75">
      <c r="A76" s="12">
        <v>54</v>
      </c>
      <c r="B76" s="13"/>
      <c r="C76" s="25" t="s">
        <v>63</v>
      </c>
      <c r="D76" s="41" t="s">
        <v>108</v>
      </c>
      <c r="E76" s="17">
        <f t="shared" si="2"/>
        <v>180</v>
      </c>
      <c r="F76" s="17">
        <v>180</v>
      </c>
      <c r="G76" s="17">
        <v>135.9</v>
      </c>
      <c r="H76" s="17"/>
      <c r="I76" s="11"/>
    </row>
    <row r="77" spans="1:9" ht="25.5" customHeight="1">
      <c r="A77" s="12">
        <v>55</v>
      </c>
      <c r="B77" s="13"/>
      <c r="C77" s="25" t="s">
        <v>64</v>
      </c>
      <c r="D77" s="29" t="s">
        <v>109</v>
      </c>
      <c r="E77" s="17">
        <f t="shared" si="2"/>
        <v>278.1</v>
      </c>
      <c r="F77" s="17">
        <f>429.1-130.2-20.8</f>
        <v>278.1</v>
      </c>
      <c r="G77" s="42">
        <f>274.7-102.1</f>
        <v>172.6</v>
      </c>
      <c r="H77" s="17"/>
      <c r="I77" s="11"/>
    </row>
    <row r="78" spans="1:9" ht="25.5" customHeight="1">
      <c r="A78" s="12">
        <v>56</v>
      </c>
      <c r="B78" s="13"/>
      <c r="C78" s="31" t="s">
        <v>110</v>
      </c>
      <c r="D78" s="15" t="s">
        <v>103</v>
      </c>
      <c r="E78" s="16">
        <f>+F78+H78</f>
        <v>169.1</v>
      </c>
      <c r="F78" s="17">
        <f>130.2+20.8+15.9+2.2</f>
        <v>169.1</v>
      </c>
      <c r="G78" s="17">
        <f>102.1+12.1</f>
        <v>114.19999999999999</v>
      </c>
      <c r="H78" s="17"/>
      <c r="I78" s="11"/>
    </row>
    <row r="79" spans="1:9" ht="12.75">
      <c r="A79" s="12">
        <v>57</v>
      </c>
      <c r="B79" s="13"/>
      <c r="C79" s="43" t="s">
        <v>111</v>
      </c>
      <c r="D79" s="38" t="s">
        <v>108</v>
      </c>
      <c r="E79" s="17">
        <f t="shared" si="2"/>
        <v>217.9</v>
      </c>
      <c r="F79" s="17">
        <v>217.9</v>
      </c>
      <c r="G79" s="17">
        <v>156.6</v>
      </c>
      <c r="H79" s="17"/>
      <c r="I79" s="11"/>
    </row>
    <row r="80" spans="1:9" ht="25.5" customHeight="1">
      <c r="A80" s="12">
        <v>58</v>
      </c>
      <c r="B80" s="13"/>
      <c r="C80" s="44" t="s">
        <v>112</v>
      </c>
      <c r="D80" s="24" t="s">
        <v>113</v>
      </c>
      <c r="E80" s="17">
        <f t="shared" si="2"/>
        <v>86.7</v>
      </c>
      <c r="F80" s="17">
        <v>86.7</v>
      </c>
      <c r="G80" s="17">
        <v>66.2</v>
      </c>
      <c r="H80" s="17"/>
      <c r="I80" s="11"/>
    </row>
    <row r="81" spans="1:9" ht="25.5" customHeight="1">
      <c r="A81" s="12">
        <v>59</v>
      </c>
      <c r="B81" s="13"/>
      <c r="C81" s="44" t="s">
        <v>114</v>
      </c>
      <c r="D81" s="24" t="s">
        <v>113</v>
      </c>
      <c r="E81" s="17">
        <f t="shared" si="2"/>
        <v>40.3</v>
      </c>
      <c r="F81" s="17">
        <v>40.3</v>
      </c>
      <c r="G81" s="17">
        <v>30.5</v>
      </c>
      <c r="H81" s="17"/>
      <c r="I81" s="11"/>
    </row>
    <row r="82" spans="1:9" ht="29.25" customHeight="1">
      <c r="A82" s="12">
        <v>60</v>
      </c>
      <c r="B82" s="13"/>
      <c r="C82" s="44" t="s">
        <v>115</v>
      </c>
      <c r="D82" s="24" t="s">
        <v>113</v>
      </c>
      <c r="E82" s="22">
        <f t="shared" si="2"/>
        <v>35.7</v>
      </c>
      <c r="F82" s="22">
        <v>35.7</v>
      </c>
      <c r="G82" s="22">
        <v>27.7</v>
      </c>
      <c r="H82" s="17"/>
      <c r="I82" s="11"/>
    </row>
    <row r="83" spans="1:9" ht="25.5" customHeight="1">
      <c r="A83" s="12">
        <v>61</v>
      </c>
      <c r="B83" s="13"/>
      <c r="C83" s="44" t="s">
        <v>116</v>
      </c>
      <c r="D83" s="24" t="s">
        <v>113</v>
      </c>
      <c r="E83" s="17">
        <f t="shared" si="2"/>
        <v>3</v>
      </c>
      <c r="F83" s="17">
        <v>3</v>
      </c>
      <c r="G83" s="17">
        <v>2</v>
      </c>
      <c r="H83" s="17"/>
      <c r="I83" s="11"/>
    </row>
    <row r="84" spans="1:9" ht="25.5" customHeight="1">
      <c r="A84" s="12">
        <v>62</v>
      </c>
      <c r="B84" s="13"/>
      <c r="C84" s="44" t="s">
        <v>117</v>
      </c>
      <c r="D84" s="24" t="s">
        <v>113</v>
      </c>
      <c r="E84" s="17">
        <f t="shared" si="2"/>
        <v>71.8</v>
      </c>
      <c r="F84" s="17">
        <v>71.8</v>
      </c>
      <c r="G84" s="17">
        <v>46.2</v>
      </c>
      <c r="H84" s="17"/>
      <c r="I84" s="11"/>
    </row>
    <row r="85" spans="1:9" ht="25.5" customHeight="1">
      <c r="A85" s="12">
        <v>63</v>
      </c>
      <c r="B85" s="13"/>
      <c r="C85" s="44" t="s">
        <v>118</v>
      </c>
      <c r="D85" s="24" t="s">
        <v>113</v>
      </c>
      <c r="E85" s="17">
        <f t="shared" si="2"/>
        <v>19.4</v>
      </c>
      <c r="F85" s="17">
        <v>19.4</v>
      </c>
      <c r="G85" s="17">
        <v>13.7</v>
      </c>
      <c r="H85" s="17"/>
      <c r="I85" s="11"/>
    </row>
    <row r="86" spans="1:9" ht="25.5" customHeight="1">
      <c r="A86" s="12">
        <v>64</v>
      </c>
      <c r="B86" s="13"/>
      <c r="C86" s="45" t="s">
        <v>119</v>
      </c>
      <c r="D86" s="24" t="s">
        <v>113</v>
      </c>
      <c r="E86" s="17">
        <f t="shared" si="2"/>
        <v>16.5</v>
      </c>
      <c r="F86" s="17">
        <v>16.5</v>
      </c>
      <c r="G86" s="17">
        <v>9.8</v>
      </c>
      <c r="H86" s="17"/>
      <c r="I86" s="11"/>
    </row>
    <row r="87" spans="1:9" ht="29.25" customHeight="1">
      <c r="A87" s="12">
        <v>65</v>
      </c>
      <c r="B87" s="13"/>
      <c r="C87" s="44" t="s">
        <v>120</v>
      </c>
      <c r="D87" s="24" t="s">
        <v>113</v>
      </c>
      <c r="E87" s="17">
        <f t="shared" si="2"/>
        <v>6.2</v>
      </c>
      <c r="F87" s="17">
        <v>6.2</v>
      </c>
      <c r="G87" s="17">
        <v>4.7</v>
      </c>
      <c r="H87" s="17"/>
      <c r="I87" s="11"/>
    </row>
    <row r="88" spans="1:9" ht="25.5" customHeight="1">
      <c r="A88" s="12">
        <v>66</v>
      </c>
      <c r="B88" s="13"/>
      <c r="C88" s="44" t="s">
        <v>121</v>
      </c>
      <c r="D88" s="24" t="s">
        <v>113</v>
      </c>
      <c r="E88" s="17">
        <f t="shared" si="2"/>
        <v>25.8</v>
      </c>
      <c r="F88" s="17">
        <v>25.8</v>
      </c>
      <c r="G88" s="17">
        <v>19.7</v>
      </c>
      <c r="H88" s="17"/>
      <c r="I88" s="11"/>
    </row>
    <row r="89" spans="1:9" ht="25.5" customHeight="1">
      <c r="A89" s="12">
        <v>67</v>
      </c>
      <c r="B89" s="13"/>
      <c r="C89" s="46" t="s">
        <v>122</v>
      </c>
      <c r="D89" s="24" t="s">
        <v>113</v>
      </c>
      <c r="E89" s="17">
        <f t="shared" si="2"/>
        <v>6</v>
      </c>
      <c r="F89" s="17">
        <v>6</v>
      </c>
      <c r="G89" s="17">
        <v>4.6</v>
      </c>
      <c r="H89" s="17"/>
      <c r="I89" s="11"/>
    </row>
    <row r="90" spans="1:9" ht="25.5" customHeight="1">
      <c r="A90" s="12">
        <v>68</v>
      </c>
      <c r="B90" s="13"/>
      <c r="C90" s="44" t="s">
        <v>76</v>
      </c>
      <c r="D90" s="24" t="s">
        <v>113</v>
      </c>
      <c r="E90" s="17">
        <f t="shared" si="2"/>
        <v>24.6</v>
      </c>
      <c r="F90" s="17">
        <f>22.1+2.5</f>
        <v>24.6</v>
      </c>
      <c r="G90" s="17">
        <f>16.9+1.6</f>
        <v>18.5</v>
      </c>
      <c r="H90" s="17"/>
      <c r="I90" s="11"/>
    </row>
    <row r="91" spans="1:9" ht="12.75" customHeight="1">
      <c r="A91" s="12">
        <v>69</v>
      </c>
      <c r="B91" s="13"/>
      <c r="C91" s="23" t="s">
        <v>65</v>
      </c>
      <c r="D91" s="47"/>
      <c r="E91" s="16">
        <f>SUM(E93:E100)</f>
        <v>5176.6</v>
      </c>
      <c r="F91" s="16">
        <f>SUM(F93:F100)</f>
        <v>5176.6</v>
      </c>
      <c r="G91" s="16">
        <f>SUM(G93:G100)</f>
        <v>0</v>
      </c>
      <c r="H91" s="16">
        <f>SUM(H93:H100)</f>
        <v>0</v>
      </c>
      <c r="I91" s="11"/>
    </row>
    <row r="92" spans="1:9" ht="12.75" customHeight="1">
      <c r="A92" s="12"/>
      <c r="B92" s="13"/>
      <c r="C92" s="35" t="s">
        <v>123</v>
      </c>
      <c r="D92" s="15"/>
      <c r="E92" s="17"/>
      <c r="F92" s="17"/>
      <c r="G92" s="17"/>
      <c r="H92" s="17"/>
      <c r="I92" s="11"/>
    </row>
    <row r="93" spans="1:9" ht="12.75" customHeight="1">
      <c r="A93" s="30" t="s">
        <v>124</v>
      </c>
      <c r="B93" s="13"/>
      <c r="C93" s="23" t="s">
        <v>68</v>
      </c>
      <c r="D93" s="41" t="s">
        <v>125</v>
      </c>
      <c r="E93" s="17">
        <f>+F93+H93</f>
        <v>220.5</v>
      </c>
      <c r="F93" s="17">
        <v>220.5</v>
      </c>
      <c r="G93" s="17"/>
      <c r="H93" s="17"/>
      <c r="I93" s="11"/>
    </row>
    <row r="94" spans="1:9" ht="12.75" customHeight="1">
      <c r="A94" s="30" t="s">
        <v>126</v>
      </c>
      <c r="B94" s="13"/>
      <c r="C94" s="39" t="s">
        <v>127</v>
      </c>
      <c r="D94" s="40" t="s">
        <v>128</v>
      </c>
      <c r="E94" s="17">
        <f aca="true" t="shared" si="3" ref="E94:E100">+F94+H94</f>
        <v>500</v>
      </c>
      <c r="F94" s="17">
        <v>500</v>
      </c>
      <c r="G94" s="17"/>
      <c r="H94" s="17"/>
      <c r="I94" s="11"/>
    </row>
    <row r="95" spans="1:9" ht="25.5" customHeight="1">
      <c r="A95" s="30" t="s">
        <v>129</v>
      </c>
      <c r="B95" s="13"/>
      <c r="C95" s="31" t="s">
        <v>130</v>
      </c>
      <c r="D95" s="40" t="s">
        <v>128</v>
      </c>
      <c r="E95" s="17">
        <f t="shared" si="3"/>
        <v>830</v>
      </c>
      <c r="F95" s="17">
        <v>830</v>
      </c>
      <c r="G95" s="17"/>
      <c r="H95" s="17"/>
      <c r="I95" s="11"/>
    </row>
    <row r="96" spans="1:9" ht="12.75" customHeight="1">
      <c r="A96" s="30" t="s">
        <v>131</v>
      </c>
      <c r="B96" s="13"/>
      <c r="C96" s="37" t="s">
        <v>132</v>
      </c>
      <c r="D96" s="38" t="s">
        <v>133</v>
      </c>
      <c r="E96" s="17">
        <f t="shared" si="3"/>
        <v>180</v>
      </c>
      <c r="F96" s="17">
        <v>180</v>
      </c>
      <c r="G96" s="17"/>
      <c r="H96" s="17"/>
      <c r="I96" s="11"/>
    </row>
    <row r="97" spans="1:9" ht="12.75" customHeight="1">
      <c r="A97" s="30" t="s">
        <v>134</v>
      </c>
      <c r="B97" s="13"/>
      <c r="C97" s="37" t="s">
        <v>135</v>
      </c>
      <c r="D97" s="40" t="s">
        <v>133</v>
      </c>
      <c r="E97" s="17">
        <f t="shared" si="3"/>
        <v>330</v>
      </c>
      <c r="F97" s="17">
        <v>330</v>
      </c>
      <c r="G97" s="17"/>
      <c r="H97" s="17"/>
      <c r="I97" s="11"/>
    </row>
    <row r="98" spans="1:9" ht="12.75" customHeight="1">
      <c r="A98" s="30" t="s">
        <v>136</v>
      </c>
      <c r="B98" s="13"/>
      <c r="C98" s="37" t="s">
        <v>137</v>
      </c>
      <c r="D98" s="40" t="s">
        <v>133</v>
      </c>
      <c r="E98" s="17">
        <f t="shared" si="3"/>
        <v>150</v>
      </c>
      <c r="F98" s="17">
        <v>150</v>
      </c>
      <c r="G98" s="17"/>
      <c r="H98" s="17"/>
      <c r="I98" s="11"/>
    </row>
    <row r="99" spans="1:9" ht="39" customHeight="1">
      <c r="A99" s="30" t="s">
        <v>138</v>
      </c>
      <c r="B99" s="13"/>
      <c r="C99" s="37" t="s">
        <v>139</v>
      </c>
      <c r="D99" s="40" t="s">
        <v>140</v>
      </c>
      <c r="E99" s="48">
        <f t="shared" si="3"/>
        <v>2913</v>
      </c>
      <c r="F99" s="48">
        <v>2913</v>
      </c>
      <c r="G99" s="49"/>
      <c r="H99" s="49"/>
      <c r="I99" s="11"/>
    </row>
    <row r="100" spans="1:9" ht="25.5" customHeight="1">
      <c r="A100" s="30" t="s">
        <v>141</v>
      </c>
      <c r="B100" s="13"/>
      <c r="C100" s="37" t="s">
        <v>142</v>
      </c>
      <c r="D100" s="13" t="s">
        <v>143</v>
      </c>
      <c r="E100" s="48">
        <f t="shared" si="3"/>
        <v>53.1</v>
      </c>
      <c r="F100" s="48">
        <v>53.1</v>
      </c>
      <c r="G100" s="49"/>
      <c r="H100" s="49"/>
      <c r="I100" s="11"/>
    </row>
    <row r="101" spans="1:9" ht="12.75" customHeight="1">
      <c r="A101" s="12">
        <v>70</v>
      </c>
      <c r="B101" s="9" t="s">
        <v>144</v>
      </c>
      <c r="C101" s="32" t="s">
        <v>145</v>
      </c>
      <c r="D101" s="15" t="s">
        <v>146</v>
      </c>
      <c r="E101" s="50">
        <f>+E102</f>
        <v>564.7</v>
      </c>
      <c r="F101" s="50">
        <f>+F102</f>
        <v>564.7</v>
      </c>
      <c r="G101" s="50">
        <f>+G102</f>
        <v>82.2</v>
      </c>
      <c r="H101" s="50">
        <f>+H102</f>
        <v>0</v>
      </c>
      <c r="I101" s="11"/>
    </row>
    <row r="102" spans="1:9" ht="12.75" customHeight="1">
      <c r="A102" s="12">
        <v>71</v>
      </c>
      <c r="B102" s="9"/>
      <c r="C102" s="23" t="s">
        <v>65</v>
      </c>
      <c r="D102" s="15"/>
      <c r="E102" s="22">
        <f>SUM(E104:E106)</f>
        <v>564.7</v>
      </c>
      <c r="F102" s="22">
        <f>SUM(F104:F106)</f>
        <v>564.7</v>
      </c>
      <c r="G102" s="22">
        <f>SUM(G104:G106)</f>
        <v>82.2</v>
      </c>
      <c r="H102" s="22">
        <f>SUM(H104:H106)</f>
        <v>0</v>
      </c>
      <c r="I102" s="11"/>
    </row>
    <row r="103" spans="1:9" ht="12.75" customHeight="1">
      <c r="A103" s="12"/>
      <c r="B103" s="9"/>
      <c r="C103" s="25" t="s">
        <v>123</v>
      </c>
      <c r="D103" s="10"/>
      <c r="E103" s="22"/>
      <c r="F103" s="22"/>
      <c r="G103" s="22"/>
      <c r="H103" s="22"/>
      <c r="I103" s="11"/>
    </row>
    <row r="104" spans="1:9" ht="12.75" customHeight="1">
      <c r="A104" s="30" t="s">
        <v>147</v>
      </c>
      <c r="B104" s="13"/>
      <c r="C104" s="23" t="s">
        <v>68</v>
      </c>
      <c r="D104" s="15"/>
      <c r="E104" s="17">
        <f>+F104+H104</f>
        <v>262.1</v>
      </c>
      <c r="F104" s="17">
        <v>262.1</v>
      </c>
      <c r="G104" s="17">
        <v>82.2</v>
      </c>
      <c r="H104" s="17"/>
      <c r="I104" s="11"/>
    </row>
    <row r="105" spans="1:9" ht="12.75" customHeight="1">
      <c r="A105" s="30" t="s">
        <v>148</v>
      </c>
      <c r="B105" s="13"/>
      <c r="C105" s="31" t="s">
        <v>149</v>
      </c>
      <c r="D105" s="15"/>
      <c r="E105" s="17">
        <f>+F105+H105</f>
        <v>261.6</v>
      </c>
      <c r="F105" s="17">
        <v>261.6</v>
      </c>
      <c r="G105" s="17"/>
      <c r="H105" s="17"/>
      <c r="I105" s="11"/>
    </row>
    <row r="106" spans="1:9" ht="12.75" customHeight="1">
      <c r="A106" s="30" t="s">
        <v>150</v>
      </c>
      <c r="B106" s="13"/>
      <c r="C106" s="31" t="s">
        <v>151</v>
      </c>
      <c r="D106" s="15"/>
      <c r="E106" s="17">
        <f>+F106+H106</f>
        <v>41</v>
      </c>
      <c r="F106" s="17">
        <v>41</v>
      </c>
      <c r="G106" s="17"/>
      <c r="H106" s="17"/>
      <c r="I106" s="11"/>
    </row>
    <row r="107" spans="1:9" ht="12.75" customHeight="1">
      <c r="A107" s="12">
        <v>72</v>
      </c>
      <c r="B107" s="9" t="s">
        <v>152</v>
      </c>
      <c r="C107" s="32" t="s">
        <v>153</v>
      </c>
      <c r="D107" s="10"/>
      <c r="E107" s="33">
        <f>+E108+E109+E110+E111+E112+E113+E114+E115+E116+E117</f>
        <v>4020.6</v>
      </c>
      <c r="F107" s="33">
        <f>+F108+F109+F110+F111+F112+F113+F114+F115+F116+F117</f>
        <v>4020.6</v>
      </c>
      <c r="G107" s="33">
        <f>+G108+G109+G110+G111+G112+G113+G114+G115+G116+G117</f>
        <v>2511.3</v>
      </c>
      <c r="H107" s="33">
        <f>+H108+H109+H110+H111+H112+H113+H114+H115+H116+H117</f>
        <v>0</v>
      </c>
      <c r="I107" s="11"/>
    </row>
    <row r="108" spans="1:9" ht="12.75" customHeight="1">
      <c r="A108" s="12">
        <v>73</v>
      </c>
      <c r="B108" s="13"/>
      <c r="C108" s="19" t="s">
        <v>154</v>
      </c>
      <c r="D108" s="15" t="s">
        <v>155</v>
      </c>
      <c r="E108" s="17">
        <f aca="true" t="shared" si="4" ref="E108:E116">+F108+H108</f>
        <v>921.6</v>
      </c>
      <c r="F108" s="17">
        <v>921.6</v>
      </c>
      <c r="G108" s="17">
        <v>561.9</v>
      </c>
      <c r="H108" s="17"/>
      <c r="I108" s="11"/>
    </row>
    <row r="109" spans="1:9" ht="12.75" customHeight="1">
      <c r="A109" s="12">
        <v>74</v>
      </c>
      <c r="B109" s="13"/>
      <c r="C109" s="43" t="s">
        <v>156</v>
      </c>
      <c r="D109" s="15" t="s">
        <v>155</v>
      </c>
      <c r="E109" s="17">
        <f t="shared" si="4"/>
        <v>269.9</v>
      </c>
      <c r="F109" s="17">
        <v>269.9</v>
      </c>
      <c r="G109" s="17">
        <v>175.8</v>
      </c>
      <c r="H109" s="17"/>
      <c r="I109" s="11"/>
    </row>
    <row r="110" spans="1:9" ht="12.75" customHeight="1">
      <c r="A110" s="12">
        <v>75</v>
      </c>
      <c r="B110" s="13"/>
      <c r="C110" s="43" t="s">
        <v>157</v>
      </c>
      <c r="D110" s="15" t="s">
        <v>155</v>
      </c>
      <c r="E110" s="17">
        <f t="shared" si="4"/>
        <v>174.9</v>
      </c>
      <c r="F110" s="17">
        <v>174.9</v>
      </c>
      <c r="G110" s="17">
        <v>109.8</v>
      </c>
      <c r="H110" s="17"/>
      <c r="I110" s="11"/>
    </row>
    <row r="111" spans="1:9" ht="12.75" customHeight="1">
      <c r="A111" s="12">
        <v>76</v>
      </c>
      <c r="B111" s="13"/>
      <c r="C111" s="43" t="s">
        <v>158</v>
      </c>
      <c r="D111" s="15" t="s">
        <v>155</v>
      </c>
      <c r="E111" s="17">
        <f t="shared" si="4"/>
        <v>210.5</v>
      </c>
      <c r="F111" s="17">
        <v>210.5</v>
      </c>
      <c r="G111" s="17">
        <v>128</v>
      </c>
      <c r="H111" s="17"/>
      <c r="I111" s="11"/>
    </row>
    <row r="112" spans="1:9" ht="12.75" customHeight="1">
      <c r="A112" s="12">
        <v>77</v>
      </c>
      <c r="B112" s="13"/>
      <c r="C112" s="43" t="s">
        <v>159</v>
      </c>
      <c r="D112" s="15" t="s">
        <v>155</v>
      </c>
      <c r="E112" s="17">
        <f t="shared" si="4"/>
        <v>137.8</v>
      </c>
      <c r="F112" s="17">
        <v>137.8</v>
      </c>
      <c r="G112" s="17">
        <v>87.6</v>
      </c>
      <c r="H112" s="17"/>
      <c r="I112" s="11"/>
    </row>
    <row r="113" spans="1:9" ht="12.75" customHeight="1">
      <c r="A113" s="12">
        <v>78</v>
      </c>
      <c r="B113" s="13"/>
      <c r="C113" s="43" t="s">
        <v>160</v>
      </c>
      <c r="D113" s="15" t="s">
        <v>155</v>
      </c>
      <c r="E113" s="17">
        <f t="shared" si="4"/>
        <v>115.5</v>
      </c>
      <c r="F113" s="17">
        <v>115.5</v>
      </c>
      <c r="G113" s="17">
        <v>76.5</v>
      </c>
      <c r="H113" s="17"/>
      <c r="I113" s="11"/>
    </row>
    <row r="114" spans="1:9" ht="25.5" customHeight="1">
      <c r="A114" s="12">
        <v>79</v>
      </c>
      <c r="B114" s="13"/>
      <c r="C114" s="20" t="s">
        <v>161</v>
      </c>
      <c r="D114" s="15" t="s">
        <v>162</v>
      </c>
      <c r="E114" s="17">
        <f t="shared" si="4"/>
        <v>1378.6</v>
      </c>
      <c r="F114" s="17">
        <v>1378.6</v>
      </c>
      <c r="G114" s="17">
        <v>927.4</v>
      </c>
      <c r="H114" s="17"/>
      <c r="I114" s="11"/>
    </row>
    <row r="115" spans="1:9" ht="12.75" customHeight="1">
      <c r="A115" s="12">
        <v>80</v>
      </c>
      <c r="B115" s="13"/>
      <c r="C115" s="43" t="s">
        <v>163</v>
      </c>
      <c r="D115" s="15" t="s">
        <v>164</v>
      </c>
      <c r="E115" s="17">
        <f t="shared" si="4"/>
        <v>578.2</v>
      </c>
      <c r="F115" s="17">
        <f>568.2+10</f>
        <v>578.2</v>
      </c>
      <c r="G115" s="17">
        <v>355.9</v>
      </c>
      <c r="H115" s="17"/>
      <c r="I115" s="11"/>
    </row>
    <row r="116" spans="1:9" ht="24.75" customHeight="1">
      <c r="A116" s="12">
        <v>81</v>
      </c>
      <c r="B116" s="13"/>
      <c r="C116" s="44" t="s">
        <v>115</v>
      </c>
      <c r="D116" s="15" t="s">
        <v>164</v>
      </c>
      <c r="E116" s="17">
        <f t="shared" si="4"/>
        <v>7</v>
      </c>
      <c r="F116" s="17">
        <f>7.5-0.5</f>
        <v>7</v>
      </c>
      <c r="G116" s="17">
        <v>5</v>
      </c>
      <c r="H116" s="17"/>
      <c r="I116" s="11"/>
    </row>
    <row r="117" spans="1:9" ht="12.75" customHeight="1">
      <c r="A117" s="12">
        <v>82</v>
      </c>
      <c r="B117" s="13"/>
      <c r="C117" s="23" t="s">
        <v>65</v>
      </c>
      <c r="D117" s="15"/>
      <c r="E117" s="17">
        <f>SUM(E119:E121)</f>
        <v>226.60000000000002</v>
      </c>
      <c r="F117" s="17">
        <f>SUM(F119:F121)</f>
        <v>226.60000000000002</v>
      </c>
      <c r="G117" s="17">
        <f>SUM(G119:G121)</f>
        <v>83.4</v>
      </c>
      <c r="H117" s="17">
        <f>SUM(H119:H121)</f>
        <v>0</v>
      </c>
      <c r="I117" s="11"/>
    </row>
    <row r="118" spans="1:9" ht="12.75" customHeight="1">
      <c r="A118" s="12"/>
      <c r="B118" s="13"/>
      <c r="C118" s="25" t="s">
        <v>123</v>
      </c>
      <c r="D118" s="15"/>
      <c r="E118" s="17"/>
      <c r="F118" s="17"/>
      <c r="G118" s="17"/>
      <c r="H118" s="17"/>
      <c r="I118" s="11"/>
    </row>
    <row r="119" spans="1:9" ht="12.75" customHeight="1">
      <c r="A119" s="30" t="s">
        <v>165</v>
      </c>
      <c r="B119" s="13"/>
      <c r="C119" s="23" t="s">
        <v>68</v>
      </c>
      <c r="D119" s="15" t="s">
        <v>166</v>
      </c>
      <c r="E119" s="17">
        <f>+F119+H119</f>
        <v>203.9</v>
      </c>
      <c r="F119" s="17">
        <f>168.9+15+20</f>
        <v>203.9</v>
      </c>
      <c r="G119" s="17">
        <v>83.4</v>
      </c>
      <c r="H119" s="17"/>
      <c r="I119" s="11"/>
    </row>
    <row r="120" spans="1:9" ht="12.75" customHeight="1">
      <c r="A120" s="30" t="s">
        <v>167</v>
      </c>
      <c r="B120" s="13"/>
      <c r="C120" s="27" t="s">
        <v>168</v>
      </c>
      <c r="D120" s="38" t="s">
        <v>169</v>
      </c>
      <c r="E120" s="17">
        <f>+F120+H120</f>
        <v>18.8</v>
      </c>
      <c r="F120" s="17">
        <v>18.8</v>
      </c>
      <c r="G120" s="17"/>
      <c r="H120" s="17"/>
      <c r="I120" s="11"/>
    </row>
    <row r="121" spans="1:9" ht="12.75" customHeight="1">
      <c r="A121" s="30" t="s">
        <v>170</v>
      </c>
      <c r="B121" s="13"/>
      <c r="C121" s="27" t="s">
        <v>171</v>
      </c>
      <c r="D121" s="38" t="s">
        <v>172</v>
      </c>
      <c r="E121" s="17">
        <f>+F121+H121</f>
        <v>3.9</v>
      </c>
      <c r="F121" s="17">
        <v>3.9</v>
      </c>
      <c r="G121" s="17"/>
      <c r="H121" s="17"/>
      <c r="I121" s="11"/>
    </row>
    <row r="122" spans="1:9" ht="25.5" customHeight="1">
      <c r="A122" s="12">
        <v>83</v>
      </c>
      <c r="B122" s="9" t="s">
        <v>173</v>
      </c>
      <c r="C122" s="32" t="s">
        <v>174</v>
      </c>
      <c r="D122" s="10"/>
      <c r="E122" s="94">
        <f>+E123</f>
        <v>93.4</v>
      </c>
      <c r="F122" s="94">
        <f>+F123</f>
        <v>93.4</v>
      </c>
      <c r="G122" s="94">
        <f>+G123</f>
        <v>60</v>
      </c>
      <c r="H122" s="94">
        <f>+H123</f>
        <v>0</v>
      </c>
      <c r="I122" s="11"/>
    </row>
    <row r="123" spans="1:9" ht="12.75" customHeight="1">
      <c r="A123" s="12">
        <v>84</v>
      </c>
      <c r="B123" s="13"/>
      <c r="C123" s="23" t="s">
        <v>175</v>
      </c>
      <c r="D123" s="38" t="s">
        <v>176</v>
      </c>
      <c r="E123" s="17">
        <f>+F123+H123</f>
        <v>93.4</v>
      </c>
      <c r="F123" s="17">
        <v>93.4</v>
      </c>
      <c r="G123" s="17">
        <f>56.7+3.3</f>
        <v>60</v>
      </c>
      <c r="H123" s="17"/>
      <c r="I123" s="11"/>
    </row>
    <row r="124" spans="1:9" ht="20.25" customHeight="1">
      <c r="A124" s="12">
        <v>85</v>
      </c>
      <c r="B124" s="9" t="s">
        <v>177</v>
      </c>
      <c r="C124" s="51" t="s">
        <v>178</v>
      </c>
      <c r="D124" s="10"/>
      <c r="E124" s="52">
        <f>+E125+E126+E127+E128+E129+E130+E131+E132+E133+E134+E135+E136</f>
        <v>8796.2</v>
      </c>
      <c r="F124" s="52">
        <f>+F125+F126+F127+F128+F129+F130+F131+F132+F133+F134+F135+F136</f>
        <v>4592.8</v>
      </c>
      <c r="G124" s="52">
        <f>+G125+G126+G127+G128+G129+G130+G131+G132+G133+G134+G135+G136</f>
        <v>0</v>
      </c>
      <c r="H124" s="52">
        <f>+H125+H126+H127+H128+H129+H130+H131+H132+H133+H134+H135+H136</f>
        <v>4203.4</v>
      </c>
      <c r="I124" s="11"/>
    </row>
    <row r="125" spans="1:9" ht="29.25" customHeight="1">
      <c r="A125" s="12">
        <v>86</v>
      </c>
      <c r="B125" s="9"/>
      <c r="C125" s="44" t="s">
        <v>112</v>
      </c>
      <c r="D125" s="29" t="s">
        <v>179</v>
      </c>
      <c r="E125" s="17">
        <f aca="true" t="shared" si="5" ref="E125:E135">+F125+H125</f>
        <v>56.5</v>
      </c>
      <c r="F125" s="17">
        <v>56.5</v>
      </c>
      <c r="G125" s="17"/>
      <c r="H125" s="17"/>
      <c r="I125" s="11"/>
    </row>
    <row r="126" spans="1:9" ht="25.5" customHeight="1">
      <c r="A126" s="12">
        <v>87</v>
      </c>
      <c r="B126" s="9"/>
      <c r="C126" s="44" t="s">
        <v>114</v>
      </c>
      <c r="D126" s="29" t="s">
        <v>179</v>
      </c>
      <c r="E126" s="17">
        <f t="shared" si="5"/>
        <v>12.3</v>
      </c>
      <c r="F126" s="17">
        <v>12.3</v>
      </c>
      <c r="G126" s="17"/>
      <c r="H126" s="17"/>
      <c r="I126" s="11"/>
    </row>
    <row r="127" spans="1:9" ht="24.75" customHeight="1">
      <c r="A127" s="12">
        <v>88</v>
      </c>
      <c r="B127" s="9"/>
      <c r="C127" s="44" t="s">
        <v>115</v>
      </c>
      <c r="D127" s="29" t="s">
        <v>179</v>
      </c>
      <c r="E127" s="17">
        <f t="shared" si="5"/>
        <v>42</v>
      </c>
      <c r="F127" s="17">
        <f>43-1</f>
        <v>42</v>
      </c>
      <c r="G127" s="17"/>
      <c r="H127" s="17"/>
      <c r="I127" s="11"/>
    </row>
    <row r="128" spans="1:9" ht="25.5" customHeight="1">
      <c r="A128" s="12">
        <v>89</v>
      </c>
      <c r="B128" s="9"/>
      <c r="C128" s="45" t="s">
        <v>116</v>
      </c>
      <c r="D128" s="53" t="s">
        <v>179</v>
      </c>
      <c r="E128" s="17">
        <f t="shared" si="5"/>
        <v>30.3</v>
      </c>
      <c r="F128" s="17">
        <v>30.3</v>
      </c>
      <c r="G128" s="17"/>
      <c r="H128" s="17"/>
      <c r="I128" s="11"/>
    </row>
    <row r="129" spans="1:9" ht="30.75" customHeight="1">
      <c r="A129" s="12">
        <v>90</v>
      </c>
      <c r="B129" s="9"/>
      <c r="C129" s="44" t="s">
        <v>117</v>
      </c>
      <c r="D129" s="29" t="s">
        <v>180</v>
      </c>
      <c r="E129" s="17">
        <f t="shared" si="5"/>
        <v>419.7</v>
      </c>
      <c r="F129" s="17">
        <f>421.4-1.7</f>
        <v>419.7</v>
      </c>
      <c r="G129" s="17"/>
      <c r="H129" s="17"/>
      <c r="I129" s="11"/>
    </row>
    <row r="130" spans="1:9" ht="25.5">
      <c r="A130" s="12">
        <v>91</v>
      </c>
      <c r="B130" s="9"/>
      <c r="C130" s="44" t="s">
        <v>118</v>
      </c>
      <c r="D130" s="29" t="s">
        <v>179</v>
      </c>
      <c r="E130" s="17">
        <f t="shared" si="5"/>
        <v>26.5</v>
      </c>
      <c r="F130" s="17">
        <v>26.5</v>
      </c>
      <c r="G130" s="17"/>
      <c r="H130" s="17"/>
      <c r="I130" s="11"/>
    </row>
    <row r="131" spans="1:9" ht="25.5">
      <c r="A131" s="12">
        <v>92</v>
      </c>
      <c r="B131" s="9"/>
      <c r="C131" s="45" t="s">
        <v>119</v>
      </c>
      <c r="D131" s="29" t="s">
        <v>179</v>
      </c>
      <c r="E131" s="17">
        <f t="shared" si="5"/>
        <v>16.5</v>
      </c>
      <c r="F131" s="17">
        <v>16.5</v>
      </c>
      <c r="G131" s="17"/>
      <c r="H131" s="17"/>
      <c r="I131" s="11"/>
    </row>
    <row r="132" spans="1:9" ht="31.5" customHeight="1">
      <c r="A132" s="12">
        <v>93</v>
      </c>
      <c r="B132" s="9"/>
      <c r="C132" s="44" t="s">
        <v>120</v>
      </c>
      <c r="D132" s="29" t="s">
        <v>179</v>
      </c>
      <c r="E132" s="17">
        <f t="shared" si="5"/>
        <v>25</v>
      </c>
      <c r="F132" s="17">
        <v>25</v>
      </c>
      <c r="G132" s="17"/>
      <c r="H132" s="17"/>
      <c r="I132" s="11"/>
    </row>
    <row r="133" spans="1:9" ht="25.5">
      <c r="A133" s="12">
        <v>94</v>
      </c>
      <c r="B133" s="9"/>
      <c r="C133" s="44" t="s">
        <v>121</v>
      </c>
      <c r="D133" s="29" t="s">
        <v>179</v>
      </c>
      <c r="E133" s="17">
        <f t="shared" si="5"/>
        <v>10.7</v>
      </c>
      <c r="F133" s="17">
        <v>10.7</v>
      </c>
      <c r="G133" s="17"/>
      <c r="H133" s="17"/>
      <c r="I133" s="11"/>
    </row>
    <row r="134" spans="1:9" ht="25.5">
      <c r="A134" s="12">
        <v>95</v>
      </c>
      <c r="B134" s="9"/>
      <c r="C134" s="46" t="s">
        <v>122</v>
      </c>
      <c r="D134" s="29" t="s">
        <v>179</v>
      </c>
      <c r="E134" s="17">
        <f t="shared" si="5"/>
        <v>20.7</v>
      </c>
      <c r="F134" s="17">
        <v>20.7</v>
      </c>
      <c r="G134" s="17"/>
      <c r="H134" s="17"/>
      <c r="I134" s="11"/>
    </row>
    <row r="135" spans="1:9" ht="24.75" customHeight="1">
      <c r="A135" s="12">
        <v>96</v>
      </c>
      <c r="B135" s="13"/>
      <c r="C135" s="44" t="s">
        <v>76</v>
      </c>
      <c r="D135" s="29" t="s">
        <v>179</v>
      </c>
      <c r="E135" s="17">
        <f t="shared" si="5"/>
        <v>25.9</v>
      </c>
      <c r="F135" s="17">
        <v>25.9</v>
      </c>
      <c r="G135" s="17"/>
      <c r="H135" s="17"/>
      <c r="I135" s="11"/>
    </row>
    <row r="136" spans="1:9" ht="12.75" customHeight="1">
      <c r="A136" s="12">
        <v>97</v>
      </c>
      <c r="B136" s="13"/>
      <c r="C136" s="23" t="s">
        <v>65</v>
      </c>
      <c r="D136" s="29"/>
      <c r="E136" s="17">
        <f>SUM(E138:E139)</f>
        <v>8110.1</v>
      </c>
      <c r="F136" s="17">
        <f>SUM(F138:F139)</f>
        <v>3906.7</v>
      </c>
      <c r="G136" s="17">
        <f>SUM(G138:G139)</f>
        <v>0</v>
      </c>
      <c r="H136" s="17">
        <f>SUM(H138:H139)</f>
        <v>4203.4</v>
      </c>
      <c r="I136" s="11"/>
    </row>
    <row r="137" spans="1:9" ht="12.75" customHeight="1">
      <c r="A137" s="12"/>
      <c r="B137" s="13"/>
      <c r="C137" s="54" t="s">
        <v>66</v>
      </c>
      <c r="D137" s="29"/>
      <c r="E137" s="17"/>
      <c r="F137" s="17"/>
      <c r="G137" s="17"/>
      <c r="H137" s="17"/>
      <c r="I137" s="11"/>
    </row>
    <row r="138" spans="1:9" ht="25.5" customHeight="1">
      <c r="A138" s="30" t="s">
        <v>181</v>
      </c>
      <c r="B138" s="13"/>
      <c r="C138" s="55" t="s">
        <v>182</v>
      </c>
      <c r="D138" s="29"/>
      <c r="E138" s="17">
        <f>+F138+H138</f>
        <v>7998</v>
      </c>
      <c r="F138" s="17">
        <f>6700-2816+201-290.4</f>
        <v>3794.6</v>
      </c>
      <c r="G138" s="17"/>
      <c r="H138" s="17">
        <f>2816+1298-201+290.4</f>
        <v>4203.4</v>
      </c>
      <c r="I138" s="11"/>
    </row>
    <row r="139" spans="1:9" ht="12.75" customHeight="1">
      <c r="A139" s="30" t="s">
        <v>183</v>
      </c>
      <c r="B139" s="13"/>
      <c r="C139" s="55" t="s">
        <v>184</v>
      </c>
      <c r="D139" s="24" t="s">
        <v>185</v>
      </c>
      <c r="E139" s="17">
        <f>+F139+H139</f>
        <v>112.1</v>
      </c>
      <c r="F139" s="17">
        <v>112.1</v>
      </c>
      <c r="G139" s="17"/>
      <c r="H139" s="17"/>
      <c r="I139" s="11"/>
    </row>
    <row r="140" spans="1:9" ht="12.75" customHeight="1">
      <c r="A140" s="12">
        <v>98</v>
      </c>
      <c r="B140" s="9" t="s">
        <v>186</v>
      </c>
      <c r="C140" s="32" t="s">
        <v>187</v>
      </c>
      <c r="D140" s="10"/>
      <c r="E140" s="33">
        <f>+E141+E142+E143+E144+E145+E146+E147+E148+E149+E150+E151+E152</f>
        <v>6819.7</v>
      </c>
      <c r="F140" s="33">
        <f>+F141+F142+F143+F144+F145+F146+F147+F148+F149+F150+F151+F152</f>
        <v>6138.6</v>
      </c>
      <c r="G140" s="33">
        <f>+G141+G142+G143+G144+G145+G146+G147+G148+G149+G150+G151+G152</f>
        <v>521.9</v>
      </c>
      <c r="H140" s="33">
        <f>+H141+H142+H143+H144+H145+H146+H147+H148+H149+H150+H151+H152</f>
        <v>681.1</v>
      </c>
      <c r="I140" s="11"/>
    </row>
    <row r="141" spans="1:9" ht="25.5" customHeight="1">
      <c r="A141" s="12">
        <v>99</v>
      </c>
      <c r="B141" s="13"/>
      <c r="C141" s="44" t="s">
        <v>112</v>
      </c>
      <c r="D141" s="40" t="s">
        <v>188</v>
      </c>
      <c r="E141" s="17">
        <f aca="true" t="shared" si="6" ref="E141:E151">+F141+H141</f>
        <v>172.4</v>
      </c>
      <c r="F141" s="17">
        <f>153.4-2.5+2+17</f>
        <v>169.9</v>
      </c>
      <c r="G141" s="56">
        <v>78.3</v>
      </c>
      <c r="H141" s="17">
        <v>2.5</v>
      </c>
      <c r="I141" s="11"/>
    </row>
    <row r="142" spans="1:9" ht="27.75" customHeight="1">
      <c r="A142" s="12">
        <v>100</v>
      </c>
      <c r="B142" s="13"/>
      <c r="C142" s="44" t="s">
        <v>114</v>
      </c>
      <c r="D142" s="40" t="s">
        <v>189</v>
      </c>
      <c r="E142" s="17">
        <f t="shared" si="6"/>
        <v>76.7</v>
      </c>
      <c r="F142" s="56">
        <f>68.7-2.5+3+5</f>
        <v>74.2</v>
      </c>
      <c r="G142" s="17">
        <v>31</v>
      </c>
      <c r="H142" s="56">
        <v>2.5</v>
      </c>
      <c r="I142" s="11"/>
    </row>
    <row r="143" spans="1:9" ht="25.5" customHeight="1">
      <c r="A143" s="12">
        <v>101</v>
      </c>
      <c r="B143" s="13"/>
      <c r="C143" s="37" t="s">
        <v>115</v>
      </c>
      <c r="D143" s="40" t="s">
        <v>188</v>
      </c>
      <c r="E143" s="17">
        <f t="shared" si="6"/>
        <v>110</v>
      </c>
      <c r="F143" s="95">
        <f>102-2.5+5+3</f>
        <v>107.5</v>
      </c>
      <c r="G143" s="17">
        <v>45.2</v>
      </c>
      <c r="H143" s="56">
        <v>2.5</v>
      </c>
      <c r="I143" s="11"/>
    </row>
    <row r="144" spans="1:9" ht="24.75" customHeight="1">
      <c r="A144" s="12">
        <v>102</v>
      </c>
      <c r="B144" s="13"/>
      <c r="C144" s="44" t="s">
        <v>116</v>
      </c>
      <c r="D144" s="40" t="s">
        <v>188</v>
      </c>
      <c r="E144" s="17">
        <f t="shared" si="6"/>
        <v>191</v>
      </c>
      <c r="F144" s="56">
        <f>141.9-2.5+21.9+5+2+20.2</f>
        <v>188.5</v>
      </c>
      <c r="G144" s="17">
        <f>41.5+16.7</f>
        <v>58.2</v>
      </c>
      <c r="H144" s="17">
        <v>2.5</v>
      </c>
      <c r="I144" s="11"/>
    </row>
    <row r="145" spans="1:9" ht="38.25" customHeight="1">
      <c r="A145" s="12">
        <v>103</v>
      </c>
      <c r="B145" s="13"/>
      <c r="C145" s="37" t="s">
        <v>117</v>
      </c>
      <c r="D145" s="40" t="s">
        <v>190</v>
      </c>
      <c r="E145" s="17">
        <f t="shared" si="6"/>
        <v>1406.8</v>
      </c>
      <c r="F145" s="17">
        <f>1411.1-2.5-4.3</f>
        <v>1404.3</v>
      </c>
      <c r="G145" s="17">
        <v>106.1</v>
      </c>
      <c r="H145" s="56">
        <v>2.5</v>
      </c>
      <c r="I145" s="11"/>
    </row>
    <row r="146" spans="1:9" ht="25.5">
      <c r="A146" s="12">
        <v>104</v>
      </c>
      <c r="B146" s="13"/>
      <c r="C146" s="44" t="s">
        <v>118</v>
      </c>
      <c r="D146" s="40" t="s">
        <v>191</v>
      </c>
      <c r="E146" s="17">
        <f t="shared" si="6"/>
        <v>138.6</v>
      </c>
      <c r="F146" s="17">
        <f>133.6-2.5+5</f>
        <v>136.1</v>
      </c>
      <c r="G146" s="17">
        <v>52.3</v>
      </c>
      <c r="H146" s="56">
        <v>2.5</v>
      </c>
      <c r="I146" s="11"/>
    </row>
    <row r="147" spans="1:9" ht="25.5">
      <c r="A147" s="12">
        <v>105</v>
      </c>
      <c r="B147" s="13"/>
      <c r="C147" s="45" t="s">
        <v>119</v>
      </c>
      <c r="D147" s="40" t="s">
        <v>188</v>
      </c>
      <c r="E147" s="17">
        <f t="shared" si="6"/>
        <v>63.5</v>
      </c>
      <c r="F147" s="17">
        <f>60.5-2.5+3</f>
        <v>61</v>
      </c>
      <c r="G147" s="17">
        <v>25.1</v>
      </c>
      <c r="H147" s="56">
        <v>2.5</v>
      </c>
      <c r="I147" s="11"/>
    </row>
    <row r="148" spans="1:9" ht="25.5">
      <c r="A148" s="12">
        <v>106</v>
      </c>
      <c r="B148" s="13"/>
      <c r="C148" s="37" t="s">
        <v>120</v>
      </c>
      <c r="D148" s="40" t="s">
        <v>188</v>
      </c>
      <c r="E148" s="17">
        <f t="shared" si="6"/>
        <v>78.1</v>
      </c>
      <c r="F148" s="17">
        <f>75.1-2.5+3</f>
        <v>75.6</v>
      </c>
      <c r="G148" s="17">
        <v>21.6</v>
      </c>
      <c r="H148" s="17">
        <v>2.5</v>
      </c>
      <c r="I148" s="11"/>
    </row>
    <row r="149" spans="1:9" ht="25.5">
      <c r="A149" s="12">
        <v>107</v>
      </c>
      <c r="B149" s="13"/>
      <c r="C149" s="44" t="s">
        <v>121</v>
      </c>
      <c r="D149" s="40" t="s">
        <v>188</v>
      </c>
      <c r="E149" s="17">
        <f t="shared" si="6"/>
        <v>65.5</v>
      </c>
      <c r="F149" s="17">
        <f>59.5-2.5+3+3</f>
        <v>63</v>
      </c>
      <c r="G149" s="17">
        <v>26</v>
      </c>
      <c r="H149" s="56">
        <v>2.5</v>
      </c>
      <c r="I149" s="11"/>
    </row>
    <row r="150" spans="1:9" ht="25.5">
      <c r="A150" s="12">
        <v>108</v>
      </c>
      <c r="B150" s="13"/>
      <c r="C150" s="96" t="s">
        <v>122</v>
      </c>
      <c r="D150" s="40" t="s">
        <v>188</v>
      </c>
      <c r="E150" s="17">
        <f t="shared" si="6"/>
        <v>76.89999999999999</v>
      </c>
      <c r="F150" s="17">
        <f>70.1-2.5+3+2+1.8</f>
        <v>74.39999999999999</v>
      </c>
      <c r="G150" s="17">
        <v>30.2</v>
      </c>
      <c r="H150" s="17">
        <v>2.5</v>
      </c>
      <c r="I150" s="11"/>
    </row>
    <row r="151" spans="1:9" ht="25.5">
      <c r="A151" s="12">
        <v>109</v>
      </c>
      <c r="B151" s="13"/>
      <c r="C151" s="44" t="s">
        <v>76</v>
      </c>
      <c r="D151" s="40" t="s">
        <v>188</v>
      </c>
      <c r="E151" s="17">
        <f t="shared" si="6"/>
        <v>157.2</v>
      </c>
      <c r="F151" s="17">
        <f>123.8-2.5+14.8-2.5+5+16.1</f>
        <v>154.7</v>
      </c>
      <c r="G151" s="17">
        <f>38.2+11.3-1.6</f>
        <v>47.9</v>
      </c>
      <c r="H151" s="17">
        <v>2.5</v>
      </c>
      <c r="I151" s="11"/>
    </row>
    <row r="152" spans="1:9" ht="12.75" customHeight="1">
      <c r="A152" s="12">
        <v>110</v>
      </c>
      <c r="B152" s="13"/>
      <c r="C152" s="23" t="s">
        <v>65</v>
      </c>
      <c r="D152" s="24"/>
      <c r="E152" s="17">
        <f>SUM(E154:E155)</f>
        <v>4283</v>
      </c>
      <c r="F152" s="17">
        <f>SUM(F154:F155)</f>
        <v>3629.4</v>
      </c>
      <c r="G152" s="17">
        <f>SUM(G154:G155)</f>
        <v>0</v>
      </c>
      <c r="H152" s="17">
        <f>SUM(H154:H155)</f>
        <v>653.6</v>
      </c>
      <c r="I152" s="11"/>
    </row>
    <row r="153" spans="1:9" ht="12.75" customHeight="1">
      <c r="A153" s="12"/>
      <c r="B153" s="13"/>
      <c r="C153" s="35" t="s">
        <v>66</v>
      </c>
      <c r="D153" s="15"/>
      <c r="E153" s="17"/>
      <c r="F153" s="56"/>
      <c r="G153" s="56"/>
      <c r="H153" s="56"/>
      <c r="I153" s="11"/>
    </row>
    <row r="154" spans="1:9" ht="25.5" customHeight="1">
      <c r="A154" s="30" t="s">
        <v>192</v>
      </c>
      <c r="B154" s="13"/>
      <c r="C154" s="31" t="s">
        <v>193</v>
      </c>
      <c r="D154" s="57" t="s">
        <v>194</v>
      </c>
      <c r="E154" s="17">
        <f>+F154+H154</f>
        <v>1481.2</v>
      </c>
      <c r="F154" s="56">
        <f>767.6+60</f>
        <v>827.6</v>
      </c>
      <c r="G154" s="56"/>
      <c r="H154" s="17">
        <f>713.6-60</f>
        <v>653.6</v>
      </c>
      <c r="I154" s="11"/>
    </row>
    <row r="155" spans="1:9" ht="12.75" customHeight="1">
      <c r="A155" s="30" t="s">
        <v>195</v>
      </c>
      <c r="B155" s="13"/>
      <c r="C155" s="31" t="s">
        <v>196</v>
      </c>
      <c r="D155" s="57" t="s">
        <v>189</v>
      </c>
      <c r="E155" s="17">
        <f>+F155+H155</f>
        <v>2801.8</v>
      </c>
      <c r="F155" s="17">
        <v>2801.8</v>
      </c>
      <c r="G155" s="56"/>
      <c r="H155" s="56"/>
      <c r="I155" s="11"/>
    </row>
    <row r="156" spans="1:9" ht="12.75" customHeight="1">
      <c r="A156" s="12">
        <v>111</v>
      </c>
      <c r="B156" s="9" t="s">
        <v>197</v>
      </c>
      <c r="C156" s="32" t="s">
        <v>198</v>
      </c>
      <c r="D156" s="10"/>
      <c r="E156" s="33">
        <f>+E157</f>
        <v>40.2</v>
      </c>
      <c r="F156" s="33">
        <f>+F157</f>
        <v>40.2</v>
      </c>
      <c r="G156" s="33">
        <f>+G157</f>
        <v>0</v>
      </c>
      <c r="H156" s="33">
        <f>+H157</f>
        <v>0</v>
      </c>
      <c r="I156" s="11"/>
    </row>
    <row r="157" spans="1:9" ht="12.75" customHeight="1">
      <c r="A157" s="12">
        <v>112</v>
      </c>
      <c r="B157" s="9"/>
      <c r="C157" s="23" t="s">
        <v>65</v>
      </c>
      <c r="D157" s="10"/>
      <c r="E157" s="58">
        <f>SUM(E159:E159)</f>
        <v>40.2</v>
      </c>
      <c r="F157" s="58">
        <f>SUM(F159:F159)</f>
        <v>40.2</v>
      </c>
      <c r="G157" s="58">
        <f>SUM(G159:G159)</f>
        <v>0</v>
      </c>
      <c r="H157" s="58">
        <f>SUM(H159:H159)</f>
        <v>0</v>
      </c>
      <c r="I157" s="11"/>
    </row>
    <row r="158" spans="1:9" ht="12.75" customHeight="1">
      <c r="A158" s="12"/>
      <c r="B158" s="9"/>
      <c r="C158" s="35" t="s">
        <v>66</v>
      </c>
      <c r="D158" s="10"/>
      <c r="E158" s="33"/>
      <c r="F158" s="33"/>
      <c r="G158" s="33"/>
      <c r="H158" s="33"/>
      <c r="I158" s="11"/>
    </row>
    <row r="159" spans="1:9" ht="12.75" customHeight="1">
      <c r="A159" s="30" t="s">
        <v>199</v>
      </c>
      <c r="B159" s="13"/>
      <c r="C159" s="37" t="s">
        <v>200</v>
      </c>
      <c r="D159" s="24" t="s">
        <v>201</v>
      </c>
      <c r="E159" s="17">
        <f>+F159+H159</f>
        <v>40.2</v>
      </c>
      <c r="F159" s="17">
        <v>40.2</v>
      </c>
      <c r="G159" s="56"/>
      <c r="H159" s="56"/>
      <c r="I159" s="11"/>
    </row>
    <row r="160" spans="1:9" ht="12.75" customHeight="1">
      <c r="A160" s="12">
        <v>113</v>
      </c>
      <c r="B160" s="9" t="s">
        <v>202</v>
      </c>
      <c r="C160" s="32" t="s">
        <v>203</v>
      </c>
      <c r="D160" s="10"/>
      <c r="E160" s="97">
        <f>+E161+E162+E163+E172+E173+E174+E175+E176+E177+E178+E179+E180+E181+E182+E183+E184</f>
        <v>14322.3</v>
      </c>
      <c r="F160" s="97">
        <f>+F161+F162+F163+F172+F173+F174+F175+F176+F177+F178+F179+F180+F181+F182+F183+F184</f>
        <v>14167.4</v>
      </c>
      <c r="G160" s="97">
        <f>+G161+G162+G163+G172+G173+G174+G175+G176+G177+G178+G179+G180+G181+G182+G183+G184</f>
        <v>3662.7000000000003</v>
      </c>
      <c r="H160" s="97">
        <f>+H161+H162+H163+H172+H173+H174+H175+H176+H177+H178+H179+H180+H181+H182+H183+H184</f>
        <v>154.9</v>
      </c>
      <c r="I160" s="11"/>
    </row>
    <row r="161" spans="1:9" ht="12.75" customHeight="1">
      <c r="A161" s="12">
        <v>114</v>
      </c>
      <c r="B161" s="9"/>
      <c r="C161" s="20" t="s">
        <v>204</v>
      </c>
      <c r="D161" s="29" t="s">
        <v>205</v>
      </c>
      <c r="E161" s="17">
        <f>+F161+H161</f>
        <v>16.4</v>
      </c>
      <c r="F161" s="17">
        <v>16.4</v>
      </c>
      <c r="G161" s="17">
        <v>10.5</v>
      </c>
      <c r="H161" s="17"/>
      <c r="I161" s="11"/>
    </row>
    <row r="162" spans="1:9" s="60" customFormat="1" ht="12.75" customHeight="1">
      <c r="A162" s="12">
        <v>115</v>
      </c>
      <c r="B162" s="59"/>
      <c r="C162" s="23" t="s">
        <v>206</v>
      </c>
      <c r="D162" s="24" t="s">
        <v>207</v>
      </c>
      <c r="E162" s="17">
        <f>+F162+H162</f>
        <v>227.2</v>
      </c>
      <c r="F162" s="17">
        <f>227.2-2</f>
        <v>225.2</v>
      </c>
      <c r="G162" s="17">
        <v>157.9</v>
      </c>
      <c r="H162" s="17">
        <v>2</v>
      </c>
      <c r="I162" s="11"/>
    </row>
    <row r="163" spans="1:9" ht="12.75" customHeight="1">
      <c r="A163" s="12">
        <v>116</v>
      </c>
      <c r="B163" s="9"/>
      <c r="C163" s="23" t="s">
        <v>65</v>
      </c>
      <c r="D163" s="24"/>
      <c r="E163" s="17">
        <f>SUM(E165:E171)</f>
        <v>5174.8</v>
      </c>
      <c r="F163" s="17">
        <f>SUM(F165:F171)</f>
        <v>5024.3</v>
      </c>
      <c r="G163" s="17">
        <f>SUM(G165:G171)</f>
        <v>2266.5</v>
      </c>
      <c r="H163" s="17">
        <f>SUM(H165:H171)</f>
        <v>150.5</v>
      </c>
      <c r="I163" s="11"/>
    </row>
    <row r="164" spans="1:9" ht="12.75">
      <c r="A164" s="12"/>
      <c r="B164" s="9"/>
      <c r="C164" s="37" t="s">
        <v>66</v>
      </c>
      <c r="D164" s="24"/>
      <c r="E164" s="17"/>
      <c r="F164" s="17"/>
      <c r="G164" s="17"/>
      <c r="H164" s="17"/>
      <c r="I164" s="11"/>
    </row>
    <row r="165" spans="1:11" s="60" customFormat="1" ht="85.5" customHeight="1">
      <c r="A165" s="30" t="s">
        <v>208</v>
      </c>
      <c r="B165" s="59"/>
      <c r="C165" s="23" t="s">
        <v>209</v>
      </c>
      <c r="D165" s="29" t="s">
        <v>210</v>
      </c>
      <c r="E165" s="22">
        <f>+F165+H165</f>
        <v>4321.6</v>
      </c>
      <c r="F165" s="22">
        <f>4293.6-150.5-15-20+63</f>
        <v>4171.1</v>
      </c>
      <c r="G165" s="22">
        <f>2245.1+21.4</f>
        <v>2266.5</v>
      </c>
      <c r="H165" s="22">
        <v>150.5</v>
      </c>
      <c r="I165" s="11"/>
      <c r="J165" s="61"/>
      <c r="K165" s="61"/>
    </row>
    <row r="166" spans="1:9" ht="39" customHeight="1">
      <c r="A166" s="30" t="s">
        <v>211</v>
      </c>
      <c r="B166" s="13"/>
      <c r="C166" s="37" t="s">
        <v>212</v>
      </c>
      <c r="D166" s="29" t="s">
        <v>213</v>
      </c>
      <c r="E166" s="22">
        <f aca="true" t="shared" si="7" ref="E166:E184">+F166+H166</f>
        <v>32.2</v>
      </c>
      <c r="F166" s="22">
        <v>32.2</v>
      </c>
      <c r="G166" s="22"/>
      <c r="H166" s="22"/>
      <c r="I166" s="11"/>
    </row>
    <row r="167" spans="1:9" ht="12.75" customHeight="1">
      <c r="A167" s="30" t="s">
        <v>214</v>
      </c>
      <c r="B167" s="13"/>
      <c r="C167" s="37" t="s">
        <v>215</v>
      </c>
      <c r="D167" s="24" t="s">
        <v>216</v>
      </c>
      <c r="E167" s="17">
        <f t="shared" si="7"/>
        <v>38</v>
      </c>
      <c r="F167" s="17">
        <v>38</v>
      </c>
      <c r="G167" s="17"/>
      <c r="H167" s="17"/>
      <c r="I167" s="11"/>
    </row>
    <row r="168" spans="1:9" ht="12.75" customHeight="1">
      <c r="A168" s="30" t="s">
        <v>217</v>
      </c>
      <c r="B168" s="13"/>
      <c r="C168" s="37" t="s">
        <v>218</v>
      </c>
      <c r="D168" s="24" t="s">
        <v>219</v>
      </c>
      <c r="E168" s="17">
        <f t="shared" si="7"/>
        <v>38</v>
      </c>
      <c r="F168" s="17">
        <v>38</v>
      </c>
      <c r="G168" s="17"/>
      <c r="H168" s="17"/>
      <c r="I168" s="11"/>
    </row>
    <row r="169" spans="1:9" ht="25.5" customHeight="1">
      <c r="A169" s="30" t="s">
        <v>220</v>
      </c>
      <c r="B169" s="13"/>
      <c r="C169" s="37" t="s">
        <v>221</v>
      </c>
      <c r="D169" s="24" t="s">
        <v>222</v>
      </c>
      <c r="E169" s="17">
        <f t="shared" si="7"/>
        <v>700</v>
      </c>
      <c r="F169" s="17">
        <v>700</v>
      </c>
      <c r="G169" s="17"/>
      <c r="H169" s="17"/>
      <c r="I169" s="11"/>
    </row>
    <row r="170" spans="1:9" ht="17.25" customHeight="1">
      <c r="A170" s="62" t="s">
        <v>223</v>
      </c>
      <c r="B170" s="13"/>
      <c r="C170" s="63" t="s">
        <v>224</v>
      </c>
      <c r="D170" s="24" t="s">
        <v>169</v>
      </c>
      <c r="E170" s="17">
        <f t="shared" si="7"/>
        <v>22.4</v>
      </c>
      <c r="F170" s="17">
        <v>22.4</v>
      </c>
      <c r="G170" s="17"/>
      <c r="H170" s="17"/>
      <c r="I170" s="11"/>
    </row>
    <row r="171" spans="1:9" ht="12.75" customHeight="1">
      <c r="A171" s="30" t="s">
        <v>225</v>
      </c>
      <c r="B171" s="13"/>
      <c r="C171" s="37" t="s">
        <v>226</v>
      </c>
      <c r="D171" s="24" t="s">
        <v>219</v>
      </c>
      <c r="E171" s="17">
        <f t="shared" si="7"/>
        <v>22.6</v>
      </c>
      <c r="F171" s="17">
        <v>22.6</v>
      </c>
      <c r="G171" s="17"/>
      <c r="H171" s="17"/>
      <c r="I171" s="11"/>
    </row>
    <row r="172" spans="1:9" ht="12.75" customHeight="1">
      <c r="A172" s="12">
        <v>117</v>
      </c>
      <c r="B172" s="13"/>
      <c r="C172" s="37" t="s">
        <v>227</v>
      </c>
      <c r="D172" s="24" t="s">
        <v>228</v>
      </c>
      <c r="E172" s="17">
        <f t="shared" si="7"/>
        <v>441.9</v>
      </c>
      <c r="F172" s="17">
        <f>800-6.5-18.1-180.1-153.4</f>
        <v>441.9</v>
      </c>
      <c r="G172" s="17"/>
      <c r="H172" s="17"/>
      <c r="I172" s="11"/>
    </row>
    <row r="173" spans="1:9" ht="12.75" customHeight="1">
      <c r="A173" s="12">
        <v>118</v>
      </c>
      <c r="B173" s="13"/>
      <c r="C173" s="64" t="s">
        <v>229</v>
      </c>
      <c r="D173" s="24" t="s">
        <v>172</v>
      </c>
      <c r="E173" s="17">
        <f t="shared" si="7"/>
        <v>6350</v>
      </c>
      <c r="F173" s="17">
        <f>6700-350</f>
        <v>6350</v>
      </c>
      <c r="G173" s="17"/>
      <c r="H173" s="17"/>
      <c r="I173" s="11"/>
    </row>
    <row r="174" spans="1:12" ht="25.5" customHeight="1">
      <c r="A174" s="12">
        <v>119</v>
      </c>
      <c r="B174" s="13"/>
      <c r="C174" s="44" t="s">
        <v>112</v>
      </c>
      <c r="D174" s="24" t="s">
        <v>172</v>
      </c>
      <c r="E174" s="17">
        <f t="shared" si="7"/>
        <v>130.7</v>
      </c>
      <c r="F174" s="17">
        <f>132.7-2</f>
        <v>130.7</v>
      </c>
      <c r="G174" s="17">
        <v>82.1</v>
      </c>
      <c r="H174" s="17"/>
      <c r="I174" s="11"/>
      <c r="J174" s="11"/>
      <c r="K174" s="11"/>
      <c r="L174" s="11"/>
    </row>
    <row r="175" spans="1:12" ht="25.5" customHeight="1">
      <c r="A175" s="12">
        <v>120</v>
      </c>
      <c r="B175" s="13"/>
      <c r="C175" s="44" t="s">
        <v>114</v>
      </c>
      <c r="D175" s="24" t="s">
        <v>172</v>
      </c>
      <c r="E175" s="17">
        <f t="shared" si="7"/>
        <v>164.3</v>
      </c>
      <c r="F175" s="17">
        <f>164.3-2.4</f>
        <v>161.9</v>
      </c>
      <c r="G175" s="17">
        <v>90.4</v>
      </c>
      <c r="H175" s="17">
        <v>2.4</v>
      </c>
      <c r="I175" s="11"/>
      <c r="J175" s="11"/>
      <c r="K175" s="11"/>
      <c r="L175" s="11"/>
    </row>
    <row r="176" spans="1:12" ht="27" customHeight="1">
      <c r="A176" s="12">
        <v>121</v>
      </c>
      <c r="B176" s="13"/>
      <c r="C176" s="44" t="s">
        <v>115</v>
      </c>
      <c r="D176" s="24" t="s">
        <v>172</v>
      </c>
      <c r="E176" s="17">
        <f t="shared" si="7"/>
        <v>156.7</v>
      </c>
      <c r="F176" s="17">
        <f>155.2+1.5</f>
        <v>156.7</v>
      </c>
      <c r="G176" s="17">
        <v>96.2</v>
      </c>
      <c r="H176" s="17"/>
      <c r="I176" s="11"/>
      <c r="J176" s="11"/>
      <c r="K176" s="11"/>
      <c r="L176" s="11"/>
    </row>
    <row r="177" spans="1:12" ht="25.5" customHeight="1">
      <c r="A177" s="12">
        <v>122</v>
      </c>
      <c r="B177" s="13"/>
      <c r="C177" s="44" t="s">
        <v>116</v>
      </c>
      <c r="D177" s="24" t="s">
        <v>172</v>
      </c>
      <c r="E177" s="17">
        <f t="shared" si="7"/>
        <v>137.2</v>
      </c>
      <c r="F177" s="17">
        <v>137.2</v>
      </c>
      <c r="G177" s="17">
        <v>92.9</v>
      </c>
      <c r="H177" s="17"/>
      <c r="I177" s="11"/>
      <c r="J177" s="11"/>
      <c r="K177" s="11"/>
      <c r="L177" s="11"/>
    </row>
    <row r="178" spans="1:12" ht="25.5" customHeight="1">
      <c r="A178" s="12">
        <v>123</v>
      </c>
      <c r="B178" s="13"/>
      <c r="C178" s="44" t="s">
        <v>117</v>
      </c>
      <c r="D178" s="24" t="s">
        <v>172</v>
      </c>
      <c r="E178" s="17">
        <f t="shared" si="7"/>
        <v>305.4</v>
      </c>
      <c r="F178" s="17">
        <f>299.4+6</f>
        <v>305.4</v>
      </c>
      <c r="G178" s="17">
        <v>203</v>
      </c>
      <c r="H178" s="17"/>
      <c r="I178" s="11"/>
      <c r="J178" s="11"/>
      <c r="K178" s="11"/>
      <c r="L178" s="11"/>
    </row>
    <row r="179" spans="1:12" ht="25.5" customHeight="1">
      <c r="A179" s="12">
        <v>124</v>
      </c>
      <c r="B179" s="13"/>
      <c r="C179" s="44" t="s">
        <v>118</v>
      </c>
      <c r="D179" s="24" t="s">
        <v>172</v>
      </c>
      <c r="E179" s="17">
        <f t="shared" si="7"/>
        <v>195.6</v>
      </c>
      <c r="F179" s="17">
        <v>195.6</v>
      </c>
      <c r="G179" s="17">
        <v>101.8</v>
      </c>
      <c r="H179" s="17"/>
      <c r="I179" s="11"/>
      <c r="J179" s="11"/>
      <c r="K179" s="11"/>
      <c r="L179" s="11"/>
    </row>
    <row r="180" spans="1:12" ht="25.5" customHeight="1">
      <c r="A180" s="12">
        <v>125</v>
      </c>
      <c r="B180" s="13"/>
      <c r="C180" s="45" t="s">
        <v>119</v>
      </c>
      <c r="D180" s="24" t="s">
        <v>172</v>
      </c>
      <c r="E180" s="17">
        <f t="shared" si="7"/>
        <v>143</v>
      </c>
      <c r="F180" s="17">
        <v>143</v>
      </c>
      <c r="G180" s="17">
        <v>77.6</v>
      </c>
      <c r="H180" s="17"/>
      <c r="I180" s="11"/>
      <c r="J180" s="11"/>
      <c r="K180" s="11"/>
      <c r="L180" s="11"/>
    </row>
    <row r="181" spans="1:12" ht="30" customHeight="1">
      <c r="A181" s="12">
        <v>126</v>
      </c>
      <c r="B181" s="13"/>
      <c r="C181" s="65" t="s">
        <v>120</v>
      </c>
      <c r="D181" s="24" t="s">
        <v>172</v>
      </c>
      <c r="E181" s="17">
        <f t="shared" si="7"/>
        <v>330</v>
      </c>
      <c r="F181" s="17">
        <v>330</v>
      </c>
      <c r="G181" s="17">
        <v>162</v>
      </c>
      <c r="H181" s="17"/>
      <c r="I181" s="11"/>
      <c r="J181" s="11"/>
      <c r="K181" s="11"/>
      <c r="L181" s="11"/>
    </row>
    <row r="182" spans="1:12" ht="25.5">
      <c r="A182" s="12">
        <v>127</v>
      </c>
      <c r="B182" s="13"/>
      <c r="C182" s="65" t="s">
        <v>121</v>
      </c>
      <c r="D182" s="24" t="s">
        <v>172</v>
      </c>
      <c r="E182" s="17">
        <f t="shared" si="7"/>
        <v>176.3</v>
      </c>
      <c r="F182" s="17">
        <v>176.3</v>
      </c>
      <c r="G182" s="17">
        <v>100.4</v>
      </c>
      <c r="H182" s="17"/>
      <c r="I182" s="11"/>
      <c r="J182" s="11"/>
      <c r="K182" s="11"/>
      <c r="L182" s="11"/>
    </row>
    <row r="183" spans="1:12" ht="25.5">
      <c r="A183" s="12">
        <v>128</v>
      </c>
      <c r="B183" s="13"/>
      <c r="C183" s="66" t="s">
        <v>122</v>
      </c>
      <c r="D183" s="24" t="s">
        <v>172</v>
      </c>
      <c r="E183" s="17">
        <f t="shared" si="7"/>
        <v>174.5</v>
      </c>
      <c r="F183" s="17">
        <v>174.5</v>
      </c>
      <c r="G183" s="17">
        <v>103.9</v>
      </c>
      <c r="H183" s="17"/>
      <c r="I183" s="11"/>
      <c r="J183" s="11"/>
      <c r="K183" s="11"/>
      <c r="L183" s="11"/>
    </row>
    <row r="184" spans="1:12" ht="27.75" customHeight="1">
      <c r="A184" s="12">
        <v>129</v>
      </c>
      <c r="B184" s="13"/>
      <c r="C184" s="44" t="s">
        <v>76</v>
      </c>
      <c r="D184" s="24" t="s">
        <v>172</v>
      </c>
      <c r="E184" s="17">
        <f t="shared" si="7"/>
        <v>198.3</v>
      </c>
      <c r="F184" s="17">
        <v>198.3</v>
      </c>
      <c r="G184" s="17">
        <v>117.5</v>
      </c>
      <c r="H184" s="17"/>
      <c r="I184" s="11"/>
      <c r="J184" s="11"/>
      <c r="K184" s="11"/>
      <c r="L184" s="11"/>
    </row>
    <row r="185" spans="1:10" ht="12.75">
      <c r="A185" s="12">
        <v>130</v>
      </c>
      <c r="B185" s="13"/>
      <c r="C185" s="98" t="s">
        <v>230</v>
      </c>
      <c r="D185" s="15"/>
      <c r="E185" s="50">
        <f>+E11+E61+E72+E101+E107+E122+E124+E140+E156+E160</f>
        <v>66810.6</v>
      </c>
      <c r="F185" s="50">
        <f>+F11+F61+F72+F101+F107+F122+F124+F140+F156+F160</f>
        <v>61531.200000000004</v>
      </c>
      <c r="G185" s="50">
        <f>+G11+G61+G72+G101+G107+G122+G124+G140+G156+G160</f>
        <v>22097</v>
      </c>
      <c r="H185" s="50">
        <f>+H11+H61+H72+H101+H107+H122+H124+H140+H156+H160</f>
        <v>5279.4</v>
      </c>
      <c r="I185" s="11"/>
      <c r="J185" s="11"/>
    </row>
    <row r="186" spans="3:9" ht="13.5" thickBot="1">
      <c r="C186" s="67"/>
      <c r="D186" s="68"/>
      <c r="E186" s="69"/>
      <c r="F186" s="67"/>
      <c r="I186" s="1"/>
    </row>
    <row r="187" spans="4:9" ht="12.75">
      <c r="D187" s="1"/>
      <c r="I187" s="1"/>
    </row>
    <row r="188" spans="4:9" ht="12.75">
      <c r="D188" s="1"/>
      <c r="E188" s="11"/>
      <c r="F188" s="11"/>
      <c r="I188" s="1"/>
    </row>
    <row r="189" spans="5:9" ht="12.75">
      <c r="E189" s="11"/>
      <c r="F189" s="11"/>
      <c r="G189" s="11"/>
      <c r="H189" s="11"/>
      <c r="I189" s="1"/>
    </row>
    <row r="190" spans="5:9" ht="12.75">
      <c r="E190" s="11"/>
      <c r="I190" s="1"/>
    </row>
    <row r="191" spans="5:6" ht="12.75">
      <c r="E191" s="11"/>
      <c r="F191" s="11"/>
    </row>
    <row r="193" ht="12.75">
      <c r="F193" s="11"/>
    </row>
  </sheetData>
  <sheetProtection/>
  <mergeCells count="14">
    <mergeCell ref="B7:B9"/>
    <mergeCell ref="C7:C9"/>
    <mergeCell ref="D7:D9"/>
    <mergeCell ref="E7:E9"/>
    <mergeCell ref="F7:H7"/>
    <mergeCell ref="F8:G8"/>
    <mergeCell ref="H8:H9"/>
    <mergeCell ref="C1:H1"/>
    <mergeCell ref="C2:H2"/>
    <mergeCell ref="E3:H3"/>
    <mergeCell ref="A4:H4"/>
    <mergeCell ref="A5:H5"/>
    <mergeCell ref="G6:H6"/>
    <mergeCell ref="A7:A9"/>
  </mergeCells>
  <printOptions/>
  <pageMargins left="0.31496062992125984" right="0.11811023622047245" top="0.5905511811023623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117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4.28125" style="1" customWidth="1"/>
    <col min="2" max="2" width="66.7109375" style="1" customWidth="1"/>
    <col min="3" max="3" width="18.8515625" style="1" customWidth="1"/>
    <col min="4" max="16384" width="9.140625" style="1" customWidth="1"/>
  </cols>
  <sheetData>
    <row r="1" spans="2:7" ht="15.75" customHeight="1">
      <c r="B1" s="169" t="s">
        <v>231</v>
      </c>
      <c r="C1" s="169"/>
      <c r="D1" s="70"/>
      <c r="E1" s="70"/>
      <c r="F1" s="70"/>
      <c r="G1" s="70"/>
    </row>
    <row r="2" spans="2:7" ht="15.75" customHeight="1">
      <c r="B2" s="169" t="s">
        <v>499</v>
      </c>
      <c r="C2" s="169"/>
      <c r="D2" s="70"/>
      <c r="E2" s="70"/>
      <c r="F2" s="70"/>
      <c r="G2" s="70"/>
    </row>
    <row r="3" ht="15.75">
      <c r="C3" s="71" t="s">
        <v>496</v>
      </c>
    </row>
    <row r="4" spans="1:4" ht="12.75">
      <c r="A4" s="99"/>
      <c r="B4" s="161"/>
      <c r="C4" s="161"/>
      <c r="D4" s="100"/>
    </row>
    <row r="5" spans="1:3" ht="12.75">
      <c r="A5" s="170" t="s">
        <v>232</v>
      </c>
      <c r="B5" s="170"/>
      <c r="C5" s="170"/>
    </row>
    <row r="6" spans="1:3" ht="12.75">
      <c r="A6" s="101"/>
      <c r="B6" s="101"/>
      <c r="C6" s="101"/>
    </row>
    <row r="7" spans="1:3" ht="25.5">
      <c r="A7" s="102" t="s">
        <v>4</v>
      </c>
      <c r="B7" s="103" t="s">
        <v>233</v>
      </c>
      <c r="C7" s="102" t="s">
        <v>234</v>
      </c>
    </row>
    <row r="8" spans="1:3" ht="12.75">
      <c r="A8" s="104">
        <v>1</v>
      </c>
      <c r="B8" s="105" t="s">
        <v>235</v>
      </c>
      <c r="C8" s="106">
        <v>130</v>
      </c>
    </row>
    <row r="9" spans="1:3" ht="12.75">
      <c r="A9" s="104">
        <v>2</v>
      </c>
      <c r="B9" s="105" t="s">
        <v>236</v>
      </c>
      <c r="C9" s="106">
        <v>120</v>
      </c>
    </row>
    <row r="10" spans="1:3" ht="12.75">
      <c r="A10" s="104">
        <v>3</v>
      </c>
      <c r="B10" s="105" t="s">
        <v>237</v>
      </c>
      <c r="C10" s="106">
        <v>100</v>
      </c>
    </row>
    <row r="11" spans="1:3" ht="12.75">
      <c r="A11" s="104">
        <v>4</v>
      </c>
      <c r="B11" s="105" t="s">
        <v>238</v>
      </c>
      <c r="C11" s="106">
        <v>100</v>
      </c>
    </row>
    <row r="12" spans="1:3" ht="12.75">
      <c r="A12" s="104">
        <v>5</v>
      </c>
      <c r="B12" s="105" t="s">
        <v>239</v>
      </c>
      <c r="C12" s="106">
        <v>80</v>
      </c>
    </row>
    <row r="13" spans="1:3" ht="12.75">
      <c r="A13" s="104">
        <v>6</v>
      </c>
      <c r="B13" s="105" t="s">
        <v>240</v>
      </c>
      <c r="C13" s="106">
        <v>30</v>
      </c>
    </row>
    <row r="14" spans="1:3" ht="12.75">
      <c r="A14" s="104">
        <v>7</v>
      </c>
      <c r="B14" s="105" t="s">
        <v>241</v>
      </c>
      <c r="C14" s="106">
        <v>48</v>
      </c>
    </row>
    <row r="15" spans="1:3" ht="12.75">
      <c r="A15" s="104">
        <v>8</v>
      </c>
      <c r="B15" s="105" t="s">
        <v>242</v>
      </c>
      <c r="C15" s="106">
        <v>95</v>
      </c>
    </row>
    <row r="16" spans="1:3" ht="12.75">
      <c r="A16" s="104">
        <v>9</v>
      </c>
      <c r="B16" s="105" t="s">
        <v>243</v>
      </c>
      <c r="C16" s="106">
        <v>436</v>
      </c>
    </row>
    <row r="17" spans="1:3" ht="12.75">
      <c r="A17" s="104">
        <v>10</v>
      </c>
      <c r="B17" s="105" t="s">
        <v>244</v>
      </c>
      <c r="C17" s="106">
        <v>30</v>
      </c>
    </row>
    <row r="18" spans="1:3" ht="12.75">
      <c r="A18" s="104">
        <v>11</v>
      </c>
      <c r="B18" s="105" t="s">
        <v>245</v>
      </c>
      <c r="C18" s="106">
        <v>137</v>
      </c>
    </row>
    <row r="19" spans="1:3" ht="12.75">
      <c r="A19" s="104">
        <v>12</v>
      </c>
      <c r="B19" s="105" t="s">
        <v>246</v>
      </c>
      <c r="C19" s="106">
        <v>224</v>
      </c>
    </row>
    <row r="20" spans="1:3" ht="12.75">
      <c r="A20" s="104">
        <v>13</v>
      </c>
      <c r="B20" s="105" t="s">
        <v>247</v>
      </c>
      <c r="C20" s="106">
        <v>34.6</v>
      </c>
    </row>
    <row r="21" spans="1:3" ht="12.75">
      <c r="A21" s="104">
        <v>14</v>
      </c>
      <c r="B21" s="105" t="s">
        <v>248</v>
      </c>
      <c r="C21" s="106">
        <v>150</v>
      </c>
    </row>
    <row r="22" spans="1:3" ht="12.75">
      <c r="A22" s="104">
        <v>15</v>
      </c>
      <c r="B22" s="105" t="s">
        <v>249</v>
      </c>
      <c r="C22" s="106">
        <v>25</v>
      </c>
    </row>
    <row r="23" spans="1:3" ht="12.75">
      <c r="A23" s="104">
        <v>16</v>
      </c>
      <c r="B23" s="105" t="s">
        <v>250</v>
      </c>
      <c r="C23" s="106">
        <v>100</v>
      </c>
    </row>
    <row r="24" spans="1:3" ht="12.75">
      <c r="A24" s="104">
        <v>17</v>
      </c>
      <c r="B24" s="105" t="s">
        <v>251</v>
      </c>
      <c r="C24" s="106">
        <v>50</v>
      </c>
    </row>
    <row r="25" spans="1:3" ht="12.75">
      <c r="A25" s="104">
        <v>18</v>
      </c>
      <c r="B25" s="105" t="s">
        <v>252</v>
      </c>
      <c r="C25" s="106">
        <v>25</v>
      </c>
    </row>
    <row r="26" spans="1:3" ht="12.75">
      <c r="A26" s="104">
        <v>19</v>
      </c>
      <c r="B26" s="105" t="s">
        <v>253</v>
      </c>
      <c r="C26" s="106">
        <v>10</v>
      </c>
    </row>
    <row r="27" spans="1:3" ht="12.75">
      <c r="A27" s="104">
        <v>20</v>
      </c>
      <c r="B27" s="105" t="s">
        <v>254</v>
      </c>
      <c r="C27" s="106">
        <v>15</v>
      </c>
    </row>
    <row r="28" spans="1:3" ht="12.75">
      <c r="A28" s="104">
        <v>21</v>
      </c>
      <c r="B28" s="105" t="s">
        <v>255</v>
      </c>
      <c r="C28" s="106">
        <v>150</v>
      </c>
    </row>
    <row r="29" spans="1:3" ht="12.75">
      <c r="A29" s="104">
        <v>22</v>
      </c>
      <c r="B29" s="105" t="s">
        <v>256</v>
      </c>
      <c r="C29" s="106">
        <v>200</v>
      </c>
    </row>
    <row r="30" spans="1:3" ht="12.75">
      <c r="A30" s="104">
        <v>23</v>
      </c>
      <c r="B30" s="105" t="s">
        <v>257</v>
      </c>
      <c r="C30" s="106">
        <v>20</v>
      </c>
    </row>
    <row r="31" spans="1:3" ht="12.75">
      <c r="A31" s="104">
        <v>24</v>
      </c>
      <c r="B31" s="105" t="s">
        <v>258</v>
      </c>
      <c r="C31" s="106">
        <v>35</v>
      </c>
    </row>
    <row r="32" spans="1:3" ht="12.75">
      <c r="A32" s="104">
        <v>25</v>
      </c>
      <c r="B32" s="105" t="s">
        <v>259</v>
      </c>
      <c r="C32" s="106">
        <v>35</v>
      </c>
    </row>
    <row r="33" spans="1:3" ht="12.75">
      <c r="A33" s="104">
        <v>26</v>
      </c>
      <c r="B33" s="105" t="s">
        <v>260</v>
      </c>
      <c r="C33" s="106">
        <v>48</v>
      </c>
    </row>
    <row r="34" spans="1:3" ht="12.75">
      <c r="A34" s="104">
        <v>27</v>
      </c>
      <c r="B34" s="105" t="s">
        <v>261</v>
      </c>
      <c r="C34" s="106">
        <v>120</v>
      </c>
    </row>
    <row r="35" spans="1:3" ht="12.75">
      <c r="A35" s="104">
        <v>28</v>
      </c>
      <c r="B35" s="105" t="s">
        <v>262</v>
      </c>
      <c r="C35" s="106">
        <v>272</v>
      </c>
    </row>
    <row r="36" spans="1:4" ht="12.75">
      <c r="A36" s="104">
        <v>29</v>
      </c>
      <c r="B36" s="107" t="s">
        <v>263</v>
      </c>
      <c r="C36" s="108">
        <f>SUM(C8:C35)</f>
        <v>2819.6</v>
      </c>
      <c r="D36" s="11"/>
    </row>
    <row r="37" spans="1:3" ht="13.5">
      <c r="A37" s="104">
        <v>30</v>
      </c>
      <c r="B37" s="109" t="s">
        <v>264</v>
      </c>
      <c r="C37" s="106"/>
    </row>
    <row r="38" spans="1:3" ht="12.75">
      <c r="A38" s="104">
        <v>31</v>
      </c>
      <c r="B38" s="105" t="s">
        <v>265</v>
      </c>
      <c r="C38" s="106">
        <v>22</v>
      </c>
    </row>
    <row r="39" spans="1:3" ht="12.75">
      <c r="A39" s="104">
        <v>32</v>
      </c>
      <c r="B39" s="105" t="s">
        <v>266</v>
      </c>
      <c r="C39" s="106">
        <v>18</v>
      </c>
    </row>
    <row r="40" spans="1:3" ht="12.75">
      <c r="A40" s="104">
        <v>33</v>
      </c>
      <c r="B40" s="105" t="s">
        <v>267</v>
      </c>
      <c r="C40" s="106">
        <v>91</v>
      </c>
    </row>
    <row r="41" spans="1:3" ht="12.75">
      <c r="A41" s="104">
        <v>34</v>
      </c>
      <c r="B41" s="105" t="s">
        <v>268</v>
      </c>
      <c r="C41" s="106">
        <v>130</v>
      </c>
    </row>
    <row r="42" spans="1:3" ht="12.75">
      <c r="A42" s="104">
        <v>35</v>
      </c>
      <c r="B42" s="105" t="s">
        <v>269</v>
      </c>
      <c r="C42" s="106">
        <v>70</v>
      </c>
    </row>
    <row r="43" spans="1:3" ht="12.75">
      <c r="A43" s="104">
        <v>36</v>
      </c>
      <c r="B43" s="105" t="s">
        <v>270</v>
      </c>
      <c r="C43" s="106">
        <v>40</v>
      </c>
    </row>
    <row r="44" spans="1:3" ht="12.75">
      <c r="A44" s="104">
        <v>37</v>
      </c>
      <c r="B44" s="105" t="s">
        <v>271</v>
      </c>
      <c r="C44" s="106">
        <v>20</v>
      </c>
    </row>
    <row r="45" spans="1:3" ht="12.75">
      <c r="A45" s="104">
        <v>38</v>
      </c>
      <c r="B45" s="105" t="s">
        <v>272</v>
      </c>
      <c r="C45" s="106">
        <v>25</v>
      </c>
    </row>
    <row r="46" spans="1:3" ht="15.75" customHeight="1">
      <c r="A46" s="104">
        <v>39</v>
      </c>
      <c r="B46" s="110" t="s">
        <v>273</v>
      </c>
      <c r="C46" s="106">
        <v>500</v>
      </c>
    </row>
    <row r="47" spans="1:3" ht="15" customHeight="1">
      <c r="A47" s="104">
        <v>40</v>
      </c>
      <c r="B47" s="111" t="s">
        <v>274</v>
      </c>
      <c r="C47" s="112">
        <v>30</v>
      </c>
    </row>
    <row r="48" spans="1:3" ht="12.75">
      <c r="A48" s="104">
        <v>41</v>
      </c>
      <c r="B48" s="105" t="s">
        <v>275</v>
      </c>
      <c r="C48" s="106">
        <v>90</v>
      </c>
    </row>
    <row r="49" spans="1:3" ht="12.75">
      <c r="A49" s="104">
        <v>42</v>
      </c>
      <c r="B49" s="105" t="s">
        <v>276</v>
      </c>
      <c r="C49" s="106">
        <v>100</v>
      </c>
    </row>
    <row r="50" spans="1:3" ht="12.75">
      <c r="A50" s="104">
        <v>43</v>
      </c>
      <c r="B50" s="105" t="s">
        <v>277</v>
      </c>
      <c r="C50" s="106">
        <v>450</v>
      </c>
    </row>
    <row r="51" spans="1:3" ht="12.75">
      <c r="A51" s="104">
        <v>44</v>
      </c>
      <c r="B51" s="105" t="s">
        <v>278</v>
      </c>
      <c r="C51" s="106">
        <v>360</v>
      </c>
    </row>
    <row r="52" spans="1:3" ht="12.75">
      <c r="A52" s="104">
        <v>45</v>
      </c>
      <c r="B52" s="105" t="s">
        <v>279</v>
      </c>
      <c r="C52" s="106">
        <v>300</v>
      </c>
    </row>
    <row r="53" spans="1:3" ht="12.75">
      <c r="A53" s="104">
        <v>46</v>
      </c>
      <c r="B53" s="105" t="s">
        <v>280</v>
      </c>
      <c r="C53" s="106">
        <v>12.1</v>
      </c>
    </row>
    <row r="54" spans="1:3" ht="12.75">
      <c r="A54" s="104">
        <v>47</v>
      </c>
      <c r="B54" s="105" t="s">
        <v>281</v>
      </c>
      <c r="C54" s="106">
        <v>15.3</v>
      </c>
    </row>
    <row r="55" spans="1:3" ht="12.75">
      <c r="A55" s="104">
        <v>48</v>
      </c>
      <c r="B55" s="105" t="s">
        <v>282</v>
      </c>
      <c r="C55" s="106">
        <v>14</v>
      </c>
    </row>
    <row r="56" spans="1:3" ht="12.75">
      <c r="A56" s="104">
        <v>49</v>
      </c>
      <c r="B56" s="105" t="s">
        <v>283</v>
      </c>
      <c r="C56" s="106">
        <v>118</v>
      </c>
    </row>
    <row r="57" spans="1:3" ht="12.75">
      <c r="A57" s="104">
        <v>50</v>
      </c>
      <c r="B57" s="105" t="s">
        <v>284</v>
      </c>
      <c r="C57" s="106">
        <v>47</v>
      </c>
    </row>
    <row r="58" spans="1:3" ht="14.25" customHeight="1">
      <c r="A58" s="104">
        <v>51</v>
      </c>
      <c r="B58" s="110" t="s">
        <v>285</v>
      </c>
      <c r="C58" s="106">
        <v>35</v>
      </c>
    </row>
    <row r="59" spans="1:3" ht="12.75" customHeight="1">
      <c r="A59" s="104">
        <v>52</v>
      </c>
      <c r="B59" s="110" t="s">
        <v>286</v>
      </c>
      <c r="C59" s="106">
        <v>360</v>
      </c>
    </row>
    <row r="60" spans="1:3" ht="12.75">
      <c r="A60" s="104">
        <v>53</v>
      </c>
      <c r="B60" s="105" t="s">
        <v>287</v>
      </c>
      <c r="C60" s="106">
        <v>50</v>
      </c>
    </row>
    <row r="61" spans="1:3" ht="12.75">
      <c r="A61" s="104">
        <v>54</v>
      </c>
      <c r="B61" s="105" t="s">
        <v>288</v>
      </c>
      <c r="C61" s="106">
        <v>7</v>
      </c>
    </row>
    <row r="62" spans="1:3" ht="12.75">
      <c r="A62" s="104">
        <v>55</v>
      </c>
      <c r="B62" s="105" t="s">
        <v>289</v>
      </c>
      <c r="C62" s="106">
        <v>8</v>
      </c>
    </row>
    <row r="63" spans="1:3" ht="12.75">
      <c r="A63" s="104">
        <v>56</v>
      </c>
      <c r="B63" s="105" t="s">
        <v>290</v>
      </c>
      <c r="C63" s="106">
        <v>80</v>
      </c>
    </row>
    <row r="64" spans="1:3" ht="12.75">
      <c r="A64" s="104">
        <v>57</v>
      </c>
      <c r="B64" s="105" t="s">
        <v>291</v>
      </c>
      <c r="C64" s="106">
        <v>60</v>
      </c>
    </row>
    <row r="65" spans="1:3" ht="12.75">
      <c r="A65" s="104">
        <v>58</v>
      </c>
      <c r="B65" s="105" t="s">
        <v>292</v>
      </c>
      <c r="C65" s="106">
        <v>160</v>
      </c>
    </row>
    <row r="66" spans="1:3" ht="12.75">
      <c r="A66" s="104">
        <v>59</v>
      </c>
      <c r="B66" s="105" t="s">
        <v>293</v>
      </c>
      <c r="C66" s="106">
        <v>50</v>
      </c>
    </row>
    <row r="67" spans="1:3" ht="12.75">
      <c r="A67" s="104">
        <v>60</v>
      </c>
      <c r="B67" s="105" t="s">
        <v>294</v>
      </c>
      <c r="C67" s="106">
        <v>6</v>
      </c>
    </row>
    <row r="68" spans="1:4" ht="12.75">
      <c r="A68" s="104">
        <v>61</v>
      </c>
      <c r="B68" s="105" t="s">
        <v>295</v>
      </c>
      <c r="C68" s="106">
        <v>196</v>
      </c>
      <c r="D68" s="113"/>
    </row>
    <row r="69" spans="1:3" ht="12.75">
      <c r="A69" s="104">
        <v>62</v>
      </c>
      <c r="B69" s="105" t="s">
        <v>296</v>
      </c>
      <c r="C69" s="106">
        <v>35</v>
      </c>
    </row>
    <row r="70" spans="1:3" ht="12.75">
      <c r="A70" s="104">
        <v>63</v>
      </c>
      <c r="B70" s="105" t="s">
        <v>297</v>
      </c>
      <c r="C70" s="106">
        <v>5</v>
      </c>
    </row>
    <row r="71" spans="1:3" ht="12.75">
      <c r="A71" s="104">
        <v>64</v>
      </c>
      <c r="B71" s="105" t="s">
        <v>298</v>
      </c>
      <c r="C71" s="106">
        <v>321</v>
      </c>
    </row>
    <row r="72" spans="1:3" ht="12.75">
      <c r="A72" s="104">
        <v>65</v>
      </c>
      <c r="B72" s="105" t="s">
        <v>299</v>
      </c>
      <c r="C72" s="106">
        <v>40</v>
      </c>
    </row>
    <row r="73" spans="1:3" ht="12.75">
      <c r="A73" s="104">
        <v>66</v>
      </c>
      <c r="B73" s="105" t="s">
        <v>300</v>
      </c>
      <c r="C73" s="112">
        <v>10</v>
      </c>
    </row>
    <row r="74" spans="1:4" ht="12.75">
      <c r="A74" s="104">
        <v>67</v>
      </c>
      <c r="B74" s="114" t="s">
        <v>301</v>
      </c>
      <c r="C74" s="115">
        <f>SUM(C38:C73)</f>
        <v>3875.4</v>
      </c>
      <c r="D74" s="11"/>
    </row>
    <row r="75" spans="1:4" ht="13.5">
      <c r="A75" s="104">
        <v>68</v>
      </c>
      <c r="B75" s="116" t="s">
        <v>302</v>
      </c>
      <c r="C75" s="115"/>
      <c r="D75" s="11"/>
    </row>
    <row r="76" spans="1:4" ht="12.75">
      <c r="A76" s="117">
        <v>69</v>
      </c>
      <c r="B76" s="118" t="s">
        <v>303</v>
      </c>
      <c r="C76" s="112">
        <v>62</v>
      </c>
      <c r="D76" s="11"/>
    </row>
    <row r="77" spans="1:4" ht="12.75">
      <c r="A77" s="117">
        <v>70</v>
      </c>
      <c r="B77" s="118" t="s">
        <v>304</v>
      </c>
      <c r="C77" s="112">
        <v>45</v>
      </c>
      <c r="D77" s="11"/>
    </row>
    <row r="78" spans="1:4" ht="12.75">
      <c r="A78" s="117">
        <v>71</v>
      </c>
      <c r="B78" s="118" t="s">
        <v>305</v>
      </c>
      <c r="C78" s="112">
        <v>30</v>
      </c>
      <c r="D78" s="11"/>
    </row>
    <row r="79" spans="1:4" ht="12.75">
      <c r="A79" s="117">
        <v>72</v>
      </c>
      <c r="B79" s="118" t="s">
        <v>306</v>
      </c>
      <c r="C79" s="112">
        <v>10</v>
      </c>
      <c r="D79" s="11"/>
    </row>
    <row r="80" spans="1:4" ht="12.75">
      <c r="A80" s="117">
        <v>73</v>
      </c>
      <c r="B80" s="118" t="s">
        <v>307</v>
      </c>
      <c r="C80" s="112">
        <v>100</v>
      </c>
      <c r="D80" s="11"/>
    </row>
    <row r="81" spans="1:4" ht="12.75">
      <c r="A81" s="117">
        <v>74</v>
      </c>
      <c r="B81" s="118" t="s">
        <v>308</v>
      </c>
      <c r="C81" s="112">
        <v>191</v>
      </c>
      <c r="D81" s="11"/>
    </row>
    <row r="82" spans="1:4" ht="12.75">
      <c r="A82" s="117">
        <v>75</v>
      </c>
      <c r="B82" s="118" t="s">
        <v>309</v>
      </c>
      <c r="C82" s="112">
        <v>625</v>
      </c>
      <c r="D82" s="11"/>
    </row>
    <row r="83" spans="1:4" ht="12.75">
      <c r="A83" s="117">
        <v>76</v>
      </c>
      <c r="B83" s="118" t="s">
        <v>310</v>
      </c>
      <c r="C83" s="112">
        <v>75</v>
      </c>
      <c r="D83" s="11"/>
    </row>
    <row r="84" spans="1:4" ht="12.75">
      <c r="A84" s="117">
        <v>77</v>
      </c>
      <c r="B84" s="118" t="s">
        <v>311</v>
      </c>
      <c r="C84" s="112">
        <v>15</v>
      </c>
      <c r="D84" s="11"/>
    </row>
    <row r="85" spans="1:4" ht="12.75">
      <c r="A85" s="117">
        <v>78</v>
      </c>
      <c r="B85" s="118" t="s">
        <v>312</v>
      </c>
      <c r="C85" s="112">
        <v>60</v>
      </c>
      <c r="D85" s="11"/>
    </row>
    <row r="86" spans="1:4" ht="12.75">
      <c r="A86" s="117">
        <v>79</v>
      </c>
      <c r="B86" s="118" t="s">
        <v>313</v>
      </c>
      <c r="C86" s="112">
        <v>20</v>
      </c>
      <c r="D86" s="11"/>
    </row>
    <row r="87" spans="1:4" ht="12.75">
      <c r="A87" s="117">
        <v>80</v>
      </c>
      <c r="B87" s="118" t="s">
        <v>314</v>
      </c>
      <c r="C87" s="112">
        <v>10</v>
      </c>
      <c r="D87" s="11"/>
    </row>
    <row r="88" spans="1:4" ht="12.75">
      <c r="A88" s="117">
        <v>81</v>
      </c>
      <c r="B88" s="118" t="s">
        <v>315</v>
      </c>
      <c r="C88" s="112">
        <v>40</v>
      </c>
      <c r="D88" s="11"/>
    </row>
    <row r="89" spans="1:4" ht="12.75">
      <c r="A89" s="117">
        <v>82</v>
      </c>
      <c r="B89" s="118" t="s">
        <v>316</v>
      </c>
      <c r="C89" s="112">
        <v>20</v>
      </c>
      <c r="D89" s="11"/>
    </row>
    <row r="90" spans="1:4" ht="12.75">
      <c r="A90" s="117">
        <v>83</v>
      </c>
      <c r="B90" s="114" t="s">
        <v>8</v>
      </c>
      <c r="C90" s="115">
        <f>SUM(C76:C89)</f>
        <v>1303</v>
      </c>
      <c r="D90" s="11"/>
    </row>
    <row r="91" spans="1:4" ht="12.75">
      <c r="A91" s="104">
        <v>84</v>
      </c>
      <c r="B91" s="119" t="s">
        <v>317</v>
      </c>
      <c r="C91" s="94">
        <f>+C36+C74+C90</f>
        <v>7998</v>
      </c>
      <c r="D91" s="11"/>
    </row>
    <row r="92" spans="2:3" ht="12.75">
      <c r="B92" s="1" t="s">
        <v>318</v>
      </c>
      <c r="C92" s="78"/>
    </row>
    <row r="93" ht="12.75">
      <c r="C93" s="78"/>
    </row>
    <row r="94" ht="12.75">
      <c r="C94" s="78"/>
    </row>
    <row r="95" spans="2:3" ht="12.75">
      <c r="B95" s="120"/>
      <c r="C95" s="78"/>
    </row>
    <row r="96" spans="2:3" ht="12.75">
      <c r="B96" s="120"/>
      <c r="C96" s="78"/>
    </row>
    <row r="97" spans="2:3" ht="12.75">
      <c r="B97" s="120"/>
      <c r="C97" s="78"/>
    </row>
    <row r="98" ht="12.75">
      <c r="C98" s="78"/>
    </row>
    <row r="99" spans="2:3" ht="12.75">
      <c r="B99" s="120"/>
      <c r="C99" s="78"/>
    </row>
    <row r="100" ht="12.75">
      <c r="C100" s="78"/>
    </row>
    <row r="101" ht="12.75">
      <c r="C101" s="78"/>
    </row>
    <row r="102" ht="12.75">
      <c r="C102" s="78"/>
    </row>
    <row r="103" ht="12.75">
      <c r="C103" s="78"/>
    </row>
    <row r="104" ht="12.75">
      <c r="C104" s="78"/>
    </row>
    <row r="105" ht="12.75">
      <c r="C105" s="78"/>
    </row>
    <row r="106" spans="2:3" ht="12.75">
      <c r="B106" s="121"/>
      <c r="C106" s="122"/>
    </row>
    <row r="109" spans="2:3" ht="12.75">
      <c r="B109" s="123"/>
      <c r="C109" s="123"/>
    </row>
    <row r="117" spans="2:3" ht="12.75">
      <c r="B117" s="120"/>
      <c r="C117" s="120"/>
    </row>
  </sheetData>
  <sheetProtection/>
  <mergeCells count="4">
    <mergeCell ref="B1:C1"/>
    <mergeCell ref="B2:C2"/>
    <mergeCell ref="B4:C4"/>
    <mergeCell ref="A5:C5"/>
  </mergeCells>
  <printOptions/>
  <pageMargins left="0.5118110236220472" right="0.11811023622047245" top="0.5905511811023623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H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28125" style="124" customWidth="1"/>
    <col min="2" max="2" width="6.57421875" style="124" customWidth="1"/>
    <col min="3" max="3" width="48.140625" style="124" customWidth="1"/>
    <col min="4" max="4" width="16.421875" style="124" customWidth="1"/>
    <col min="5" max="5" width="10.00390625" style="124" customWidth="1"/>
    <col min="6" max="16384" width="9.140625" style="124" customWidth="1"/>
  </cols>
  <sheetData>
    <row r="2" spans="3:8" ht="15.75">
      <c r="C2" s="70" t="s">
        <v>0</v>
      </c>
      <c r="D2" s="70"/>
      <c r="E2" s="70"/>
      <c r="F2" s="70"/>
      <c r="G2" s="70"/>
      <c r="H2" s="70"/>
    </row>
    <row r="3" spans="3:8" ht="15.75">
      <c r="C3" s="70" t="s">
        <v>500</v>
      </c>
      <c r="D3" s="70"/>
      <c r="E3" s="70"/>
      <c r="F3" s="70"/>
      <c r="G3" s="70"/>
      <c r="H3" s="70"/>
    </row>
    <row r="4" spans="3:5" ht="15.75">
      <c r="C4" s="160" t="s">
        <v>319</v>
      </c>
      <c r="D4" s="160"/>
      <c r="E4" s="160"/>
    </row>
    <row r="7" spans="2:5" ht="15">
      <c r="B7" s="171" t="s">
        <v>320</v>
      </c>
      <c r="C7" s="171"/>
      <c r="D7" s="171"/>
      <c r="E7" s="171"/>
    </row>
    <row r="8" spans="2:5" ht="15">
      <c r="B8" s="125"/>
      <c r="C8" s="126" t="s">
        <v>321</v>
      </c>
      <c r="D8" s="126"/>
      <c r="E8" s="126"/>
    </row>
    <row r="9" spans="2:5" ht="15">
      <c r="B9" s="125"/>
      <c r="C9" s="125"/>
      <c r="D9" s="125"/>
      <c r="E9" s="125"/>
    </row>
    <row r="10" spans="2:4" ht="15">
      <c r="B10" s="125"/>
      <c r="C10" s="125"/>
      <c r="D10" s="139"/>
    </row>
    <row r="11" spans="2:5" ht="9" customHeight="1">
      <c r="B11" s="125"/>
      <c r="C11" s="125"/>
      <c r="D11" s="125"/>
      <c r="E11" s="125"/>
    </row>
    <row r="12" spans="2:5" ht="5.25" customHeight="1">
      <c r="B12" s="125"/>
      <c r="C12" s="125"/>
      <c r="D12" s="125"/>
      <c r="E12" s="125"/>
    </row>
    <row r="13" spans="2:5" ht="60.75" customHeight="1">
      <c r="B13" s="127" t="s">
        <v>4</v>
      </c>
      <c r="C13" s="127" t="s">
        <v>323</v>
      </c>
      <c r="D13" s="128" t="s">
        <v>324</v>
      </c>
      <c r="E13" s="129"/>
    </row>
    <row r="14" spans="2:5" ht="11.25" customHeight="1">
      <c r="B14" s="127">
        <v>1</v>
      </c>
      <c r="C14" s="127">
        <v>2</v>
      </c>
      <c r="D14" s="127">
        <v>3</v>
      </c>
      <c r="E14" s="129"/>
    </row>
    <row r="15" spans="2:5" ht="3" customHeight="1">
      <c r="B15" s="130"/>
      <c r="C15" s="130"/>
      <c r="D15" s="130"/>
      <c r="E15" s="131"/>
    </row>
    <row r="16" spans="2:5" ht="40.5" customHeight="1">
      <c r="B16" s="127" t="s">
        <v>325</v>
      </c>
      <c r="C16" s="132" t="s">
        <v>326</v>
      </c>
      <c r="D16" s="133">
        <v>462.2</v>
      </c>
      <c r="E16" s="131"/>
    </row>
    <row r="17" spans="2:5" ht="2.25" customHeight="1">
      <c r="B17" s="127"/>
      <c r="C17" s="130"/>
      <c r="D17" s="127"/>
      <c r="E17" s="131"/>
    </row>
    <row r="18" spans="2:5" ht="44.25" customHeight="1">
      <c r="B18" s="127" t="s">
        <v>327</v>
      </c>
      <c r="C18" s="134" t="s">
        <v>328</v>
      </c>
      <c r="D18" s="127">
        <v>257.9</v>
      </c>
      <c r="E18" s="131"/>
    </row>
    <row r="19" spans="2:5" ht="30" customHeight="1">
      <c r="B19" s="135" t="s">
        <v>329</v>
      </c>
      <c r="C19" s="136" t="s">
        <v>330</v>
      </c>
      <c r="D19" s="127">
        <v>71</v>
      </c>
      <c r="E19" s="131"/>
    </row>
    <row r="20" spans="2:7" ht="45.75" customHeight="1">
      <c r="B20" s="127" t="s">
        <v>331</v>
      </c>
      <c r="C20" s="136" t="s">
        <v>332</v>
      </c>
      <c r="D20" s="127">
        <v>59.5</v>
      </c>
      <c r="E20" s="155"/>
      <c r="F20" s="156"/>
      <c r="G20" s="156"/>
    </row>
    <row r="21" spans="2:5" ht="27" customHeight="1">
      <c r="B21" s="127" t="s">
        <v>333</v>
      </c>
      <c r="C21" s="137" t="s">
        <v>334</v>
      </c>
      <c r="D21" s="127">
        <v>10.6</v>
      </c>
      <c r="E21" s="131"/>
    </row>
    <row r="22" spans="2:5" ht="45.75" customHeight="1">
      <c r="B22" s="127" t="s">
        <v>335</v>
      </c>
      <c r="C22" s="136" t="s">
        <v>336</v>
      </c>
      <c r="D22" s="127">
        <v>0</v>
      </c>
      <c r="E22" s="131"/>
    </row>
    <row r="23" spans="2:5" ht="47.25" customHeight="1">
      <c r="B23" s="127" t="s">
        <v>337</v>
      </c>
      <c r="C23" s="136" t="s">
        <v>338</v>
      </c>
      <c r="D23" s="127">
        <v>0</v>
      </c>
      <c r="E23" s="131"/>
    </row>
    <row r="24" spans="2:5" ht="42" customHeight="1">
      <c r="B24" s="127" t="s">
        <v>339</v>
      </c>
      <c r="C24" s="136" t="s">
        <v>340</v>
      </c>
      <c r="D24" s="127">
        <v>0</v>
      </c>
      <c r="E24" s="131"/>
    </row>
    <row r="25" spans="2:5" ht="20.25" customHeight="1">
      <c r="B25" s="127" t="s">
        <v>341</v>
      </c>
      <c r="C25" s="138" t="s">
        <v>342</v>
      </c>
      <c r="D25" s="127">
        <v>14.7</v>
      </c>
      <c r="E25" s="131"/>
    </row>
    <row r="26" spans="2:5" ht="28.5" customHeight="1">
      <c r="B26" s="127" t="s">
        <v>343</v>
      </c>
      <c r="C26" s="136" t="s">
        <v>344</v>
      </c>
      <c r="D26" s="127">
        <v>48.5</v>
      </c>
      <c r="E26" s="131"/>
    </row>
    <row r="27" spans="2:5" ht="15">
      <c r="B27" s="131"/>
      <c r="C27" s="131"/>
      <c r="D27" s="131"/>
      <c r="E27" s="131"/>
    </row>
    <row r="28" spans="2:5" ht="15">
      <c r="B28" s="125"/>
      <c r="C28" s="125"/>
      <c r="D28" s="125"/>
      <c r="E28" s="125"/>
    </row>
    <row r="29" ht="15">
      <c r="C29" s="124" t="s">
        <v>345</v>
      </c>
    </row>
  </sheetData>
  <sheetProtection/>
  <mergeCells count="2">
    <mergeCell ref="C4:E4"/>
    <mergeCell ref="B7:E7"/>
  </mergeCells>
  <printOptions/>
  <pageMargins left="0.7086614173228347" right="0.7086614173228347" top="0" bottom="0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3:E75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7.140625" style="124" customWidth="1"/>
    <col min="2" max="2" width="7.57421875" style="124" customWidth="1"/>
    <col min="3" max="3" width="47.8515625" style="124" customWidth="1"/>
    <col min="4" max="5" width="12.28125" style="124" customWidth="1"/>
    <col min="6" max="16384" width="9.140625" style="124" customWidth="1"/>
  </cols>
  <sheetData>
    <row r="3" spans="2:5" ht="15">
      <c r="B3" s="171" t="s">
        <v>320</v>
      </c>
      <c r="C3" s="171"/>
      <c r="D3" s="171"/>
      <c r="E3" s="171"/>
    </row>
    <row r="4" spans="2:5" ht="15">
      <c r="B4" s="171" t="s">
        <v>346</v>
      </c>
      <c r="C4" s="171"/>
      <c r="D4" s="171"/>
      <c r="E4" s="171"/>
    </row>
    <row r="6" ht="8.25" customHeight="1"/>
    <row r="7" spans="2:5" ht="28.5" customHeight="1">
      <c r="B7" s="127" t="s">
        <v>347</v>
      </c>
      <c r="C7" s="127" t="s">
        <v>348</v>
      </c>
      <c r="D7" s="140" t="s">
        <v>349</v>
      </c>
      <c r="E7" s="140" t="s">
        <v>350</v>
      </c>
    </row>
    <row r="8" spans="2:5" ht="10.5" customHeight="1">
      <c r="B8" s="141">
        <v>1</v>
      </c>
      <c r="C8" s="141">
        <v>2</v>
      </c>
      <c r="D8" s="141">
        <v>3</v>
      </c>
      <c r="E8" s="141">
        <v>4</v>
      </c>
    </row>
    <row r="9" spans="2:5" ht="15">
      <c r="B9" s="130" t="s">
        <v>325</v>
      </c>
      <c r="C9" s="142" t="s">
        <v>351</v>
      </c>
      <c r="D9" s="142" t="s">
        <v>352</v>
      </c>
      <c r="E9" s="143">
        <v>462.2</v>
      </c>
    </row>
    <row r="10" spans="2:5" ht="42.75">
      <c r="B10" s="133" t="s">
        <v>327</v>
      </c>
      <c r="C10" s="132" t="s">
        <v>353</v>
      </c>
      <c r="D10" s="132" t="s">
        <v>354</v>
      </c>
      <c r="E10" s="133" t="s">
        <v>355</v>
      </c>
    </row>
    <row r="11" spans="2:5" ht="15">
      <c r="B11" s="130" t="s">
        <v>356</v>
      </c>
      <c r="C11" s="142" t="s">
        <v>357</v>
      </c>
      <c r="D11" s="130"/>
      <c r="E11" s="130"/>
    </row>
    <row r="12" spans="2:5" ht="15">
      <c r="B12" s="130" t="s">
        <v>358</v>
      </c>
      <c r="C12" s="144" t="s">
        <v>359</v>
      </c>
      <c r="D12" s="130"/>
      <c r="E12" s="130"/>
    </row>
    <row r="13" spans="2:5" ht="15">
      <c r="B13" s="130" t="s">
        <v>360</v>
      </c>
      <c r="C13" s="145" t="s">
        <v>361</v>
      </c>
      <c r="D13" s="130"/>
      <c r="E13" s="130"/>
    </row>
    <row r="14" spans="2:5" ht="15">
      <c r="B14" s="130" t="s">
        <v>362</v>
      </c>
      <c r="C14" s="144" t="s">
        <v>363</v>
      </c>
      <c r="D14" s="130"/>
      <c r="E14" s="130"/>
    </row>
    <row r="15" spans="2:5" ht="15">
      <c r="B15" s="130" t="s">
        <v>364</v>
      </c>
      <c r="C15" s="144" t="s">
        <v>365</v>
      </c>
      <c r="D15" s="130"/>
      <c r="E15" s="130"/>
    </row>
    <row r="16" spans="2:5" ht="15">
      <c r="B16" s="130" t="s">
        <v>366</v>
      </c>
      <c r="C16" s="144" t="s">
        <v>367</v>
      </c>
      <c r="D16" s="130"/>
      <c r="E16" s="130"/>
    </row>
    <row r="17" spans="2:5" ht="15">
      <c r="B17" s="130" t="s">
        <v>368</v>
      </c>
      <c r="C17" s="144" t="s">
        <v>369</v>
      </c>
      <c r="D17" s="130"/>
      <c r="E17" s="130"/>
    </row>
    <row r="18" spans="2:5" ht="15">
      <c r="B18" s="130" t="s">
        <v>370</v>
      </c>
      <c r="C18" s="144" t="s">
        <v>371</v>
      </c>
      <c r="D18" s="130"/>
      <c r="E18" s="130"/>
    </row>
    <row r="19" spans="2:5" ht="15">
      <c r="B19" s="130" t="s">
        <v>372</v>
      </c>
      <c r="C19" s="130" t="s">
        <v>373</v>
      </c>
      <c r="D19" s="130"/>
      <c r="E19" s="130"/>
    </row>
    <row r="20" spans="2:5" ht="15">
      <c r="B20" s="130" t="s">
        <v>374</v>
      </c>
      <c r="C20" s="142" t="s">
        <v>375</v>
      </c>
      <c r="D20" s="130"/>
      <c r="E20" s="130"/>
    </row>
    <row r="21" spans="2:5" ht="15">
      <c r="B21" s="130" t="s">
        <v>376</v>
      </c>
      <c r="C21" s="144" t="s">
        <v>377</v>
      </c>
      <c r="D21" s="130"/>
      <c r="E21" s="130"/>
    </row>
    <row r="22" spans="2:5" ht="15">
      <c r="B22" s="130" t="s">
        <v>378</v>
      </c>
      <c r="C22" s="144" t="s">
        <v>379</v>
      </c>
      <c r="D22" s="130"/>
      <c r="E22" s="130"/>
    </row>
    <row r="23" spans="2:5" ht="15">
      <c r="B23" s="130" t="s">
        <v>380</v>
      </c>
      <c r="C23" s="144" t="s">
        <v>381</v>
      </c>
      <c r="D23" s="130"/>
      <c r="E23" s="130"/>
    </row>
    <row r="24" spans="2:5" ht="15">
      <c r="B24" s="130" t="s">
        <v>382</v>
      </c>
      <c r="C24" s="144" t="s">
        <v>383</v>
      </c>
      <c r="D24" s="130"/>
      <c r="E24" s="130"/>
    </row>
    <row r="25" spans="2:5" ht="15">
      <c r="B25" s="130" t="s">
        <v>384</v>
      </c>
      <c r="C25" s="144" t="s">
        <v>385</v>
      </c>
      <c r="D25" s="130"/>
      <c r="E25" s="130"/>
    </row>
    <row r="26" spans="2:5" ht="15">
      <c r="B26" s="130" t="s">
        <v>386</v>
      </c>
      <c r="C26" s="130" t="s">
        <v>387</v>
      </c>
      <c r="D26" s="130"/>
      <c r="E26" s="130"/>
    </row>
    <row r="27" spans="2:5" ht="15">
      <c r="B27" s="130" t="s">
        <v>388</v>
      </c>
      <c r="C27" s="130" t="s">
        <v>389</v>
      </c>
      <c r="D27" s="130"/>
      <c r="E27" s="130"/>
    </row>
    <row r="28" spans="2:5" ht="15">
      <c r="B28" s="130" t="s">
        <v>390</v>
      </c>
      <c r="C28" s="144" t="s">
        <v>391</v>
      </c>
      <c r="D28" s="130"/>
      <c r="E28" s="130"/>
    </row>
    <row r="29" spans="2:5" ht="15">
      <c r="B29" s="130" t="s">
        <v>392</v>
      </c>
      <c r="C29" s="144" t="s">
        <v>393</v>
      </c>
      <c r="D29" s="130"/>
      <c r="E29" s="130"/>
    </row>
    <row r="30" spans="2:5" ht="15">
      <c r="B30" s="130" t="s">
        <v>394</v>
      </c>
      <c r="C30" s="142" t="s">
        <v>395</v>
      </c>
      <c r="D30" s="130"/>
      <c r="E30" s="130"/>
    </row>
    <row r="31" spans="2:5" ht="15">
      <c r="B31" s="130" t="s">
        <v>396</v>
      </c>
      <c r="C31" s="130" t="s">
        <v>397</v>
      </c>
      <c r="D31" s="130"/>
      <c r="E31" s="130"/>
    </row>
    <row r="32" spans="2:5" ht="15">
      <c r="B32" s="130" t="s">
        <v>398</v>
      </c>
      <c r="C32" s="144" t="s">
        <v>399</v>
      </c>
      <c r="D32" s="130"/>
      <c r="E32" s="130"/>
    </row>
    <row r="33" spans="2:5" ht="15">
      <c r="B33" s="130" t="s">
        <v>400</v>
      </c>
      <c r="C33" s="144" t="s">
        <v>401</v>
      </c>
      <c r="D33" s="130"/>
      <c r="E33" s="130"/>
    </row>
    <row r="34" spans="2:5" ht="15">
      <c r="B34" s="130" t="s">
        <v>402</v>
      </c>
      <c r="C34" s="144" t="s">
        <v>403</v>
      </c>
      <c r="D34" s="130"/>
      <c r="E34" s="130"/>
    </row>
    <row r="35" spans="2:5" ht="15">
      <c r="B35" s="130" t="s">
        <v>404</v>
      </c>
      <c r="C35" s="144" t="s">
        <v>405</v>
      </c>
      <c r="D35" s="130"/>
      <c r="E35" s="130"/>
    </row>
    <row r="36" spans="2:5" ht="15">
      <c r="B36" s="130" t="s">
        <v>406</v>
      </c>
      <c r="C36" s="144" t="s">
        <v>407</v>
      </c>
      <c r="D36" s="130"/>
      <c r="E36" s="130"/>
    </row>
    <row r="37" spans="2:5" ht="15">
      <c r="B37" s="130" t="s">
        <v>408</v>
      </c>
      <c r="C37" s="142" t="s">
        <v>409</v>
      </c>
      <c r="D37" s="130"/>
      <c r="E37" s="130"/>
    </row>
    <row r="38" spans="2:5" ht="15">
      <c r="B38" s="130" t="s">
        <v>410</v>
      </c>
      <c r="C38" s="144" t="s">
        <v>411</v>
      </c>
      <c r="D38" s="130"/>
      <c r="E38" s="130"/>
    </row>
    <row r="39" spans="2:5" ht="15">
      <c r="B39" s="130" t="s">
        <v>412</v>
      </c>
      <c r="C39" s="144" t="s">
        <v>413</v>
      </c>
      <c r="D39" s="130"/>
      <c r="E39" s="130"/>
    </row>
    <row r="40" spans="2:5" ht="15">
      <c r="B40" s="130" t="s">
        <v>414</v>
      </c>
      <c r="C40" s="144" t="s">
        <v>415</v>
      </c>
      <c r="D40" s="130"/>
      <c r="E40" s="130"/>
    </row>
    <row r="41" spans="2:5" ht="15">
      <c r="B41" s="130" t="s">
        <v>416</v>
      </c>
      <c r="C41" s="142" t="s">
        <v>417</v>
      </c>
      <c r="D41" s="130"/>
      <c r="E41" s="130"/>
    </row>
    <row r="42" spans="2:5" ht="15">
      <c r="B42" s="130" t="s">
        <v>418</v>
      </c>
      <c r="C42" s="144" t="s">
        <v>419</v>
      </c>
      <c r="D42" s="130"/>
      <c r="E42" s="130"/>
    </row>
    <row r="43" spans="2:5" ht="15">
      <c r="B43" s="130" t="s">
        <v>420</v>
      </c>
      <c r="C43" s="144" t="s">
        <v>421</v>
      </c>
      <c r="D43" s="130"/>
      <c r="E43" s="130"/>
    </row>
    <row r="44" spans="2:5" ht="15">
      <c r="B44" s="130" t="s">
        <v>422</v>
      </c>
      <c r="C44" s="130" t="s">
        <v>423</v>
      </c>
      <c r="D44" s="130"/>
      <c r="E44" s="130"/>
    </row>
    <row r="45" spans="2:5" ht="15">
      <c r="B45" s="130" t="s">
        <v>424</v>
      </c>
      <c r="C45" s="130" t="s">
        <v>425</v>
      </c>
      <c r="D45" s="130"/>
      <c r="E45" s="130"/>
    </row>
    <row r="46" spans="2:5" ht="15">
      <c r="B46" s="130" t="s">
        <v>426</v>
      </c>
      <c r="C46" s="142" t="s">
        <v>427</v>
      </c>
      <c r="D46" s="130"/>
      <c r="E46" s="130"/>
    </row>
    <row r="47" spans="2:5" ht="15">
      <c r="B47" s="130" t="s">
        <v>428</v>
      </c>
      <c r="C47" s="144" t="s">
        <v>429</v>
      </c>
      <c r="D47" s="130"/>
      <c r="E47" s="130"/>
    </row>
    <row r="48" spans="2:5" ht="15">
      <c r="B48" s="130" t="s">
        <v>430</v>
      </c>
      <c r="C48" s="144" t="s">
        <v>431</v>
      </c>
      <c r="D48" s="130"/>
      <c r="E48" s="130"/>
    </row>
    <row r="49" spans="2:5" ht="15">
      <c r="B49" s="130" t="s">
        <v>432</v>
      </c>
      <c r="C49" s="144" t="s">
        <v>433</v>
      </c>
      <c r="D49" s="130"/>
      <c r="E49" s="130"/>
    </row>
    <row r="50" spans="2:5" ht="15">
      <c r="B50" s="130" t="s">
        <v>434</v>
      </c>
      <c r="C50" s="145" t="s">
        <v>435</v>
      </c>
      <c r="D50" s="130"/>
      <c r="E50" s="130"/>
    </row>
    <row r="51" spans="2:5" ht="15">
      <c r="B51" s="130" t="s">
        <v>436</v>
      </c>
      <c r="C51" s="144" t="s">
        <v>437</v>
      </c>
      <c r="D51" s="130"/>
      <c r="E51" s="130"/>
    </row>
    <row r="52" spans="2:5" ht="15">
      <c r="B52" s="130" t="s">
        <v>438</v>
      </c>
      <c r="C52" s="144" t="s">
        <v>439</v>
      </c>
      <c r="D52" s="130"/>
      <c r="E52" s="130"/>
    </row>
    <row r="53" spans="2:5" ht="15">
      <c r="B53" s="130" t="s">
        <v>440</v>
      </c>
      <c r="C53" s="144" t="s">
        <v>441</v>
      </c>
      <c r="D53" s="130"/>
      <c r="E53" s="130"/>
    </row>
    <row r="54" spans="2:5" ht="15">
      <c r="B54" s="130" t="s">
        <v>442</v>
      </c>
      <c r="C54" s="144" t="s">
        <v>443</v>
      </c>
      <c r="D54" s="130"/>
      <c r="E54" s="130"/>
    </row>
    <row r="55" spans="2:5" ht="15">
      <c r="B55" s="130" t="s">
        <v>444</v>
      </c>
      <c r="C55" s="144" t="s">
        <v>445</v>
      </c>
      <c r="D55" s="130"/>
      <c r="E55" s="130"/>
    </row>
    <row r="56" spans="2:5" ht="15">
      <c r="B56" s="130" t="s">
        <v>446</v>
      </c>
      <c r="C56" s="144" t="s">
        <v>447</v>
      </c>
      <c r="D56" s="130"/>
      <c r="E56" s="130"/>
    </row>
    <row r="57" spans="2:5" ht="15">
      <c r="B57" s="130" t="s">
        <v>448</v>
      </c>
      <c r="C57" s="144" t="s">
        <v>449</v>
      </c>
      <c r="D57" s="130"/>
      <c r="E57" s="130"/>
    </row>
    <row r="58" spans="2:5" ht="15">
      <c r="B58" s="130" t="s">
        <v>450</v>
      </c>
      <c r="C58" s="144" t="s">
        <v>451</v>
      </c>
      <c r="D58" s="130"/>
      <c r="E58" s="130"/>
    </row>
    <row r="59" spans="2:5" ht="15">
      <c r="B59" s="130" t="s">
        <v>452</v>
      </c>
      <c r="C59" s="142" t="s">
        <v>453</v>
      </c>
      <c r="D59" s="130"/>
      <c r="E59" s="130"/>
    </row>
    <row r="60" spans="2:5" ht="15">
      <c r="B60" s="130" t="s">
        <v>454</v>
      </c>
      <c r="C60" s="130" t="s">
        <v>455</v>
      </c>
      <c r="D60" s="130"/>
      <c r="E60" s="130"/>
    </row>
    <row r="61" spans="2:5" ht="15">
      <c r="B61" s="130" t="s">
        <v>456</v>
      </c>
      <c r="C61" s="144" t="s">
        <v>457</v>
      </c>
      <c r="D61" s="130"/>
      <c r="E61" s="130"/>
    </row>
    <row r="62" spans="2:5" ht="15">
      <c r="B62" s="130" t="s">
        <v>458</v>
      </c>
      <c r="C62" s="144" t="s">
        <v>459</v>
      </c>
      <c r="D62" s="130"/>
      <c r="E62" s="130"/>
    </row>
    <row r="63" spans="2:5" ht="15">
      <c r="B63" s="130" t="s">
        <v>460</v>
      </c>
      <c r="C63" s="142" t="s">
        <v>461</v>
      </c>
      <c r="D63" s="130"/>
      <c r="E63" s="130"/>
    </row>
    <row r="64" spans="2:5" ht="15">
      <c r="B64" s="130" t="s">
        <v>462</v>
      </c>
      <c r="C64" s="144" t="s">
        <v>463</v>
      </c>
      <c r="D64" s="130"/>
      <c r="E64" s="130"/>
    </row>
    <row r="65" spans="2:5" ht="30">
      <c r="B65" s="127" t="s">
        <v>329</v>
      </c>
      <c r="C65" s="136" t="s">
        <v>464</v>
      </c>
      <c r="D65" s="127" t="s">
        <v>322</v>
      </c>
      <c r="E65" s="127">
        <v>71</v>
      </c>
    </row>
    <row r="66" spans="2:5" ht="45">
      <c r="B66" s="127" t="s">
        <v>331</v>
      </c>
      <c r="C66" s="136" t="s">
        <v>465</v>
      </c>
      <c r="D66" s="127" t="s">
        <v>322</v>
      </c>
      <c r="E66" s="127">
        <v>59.5</v>
      </c>
    </row>
    <row r="67" spans="2:5" ht="22.5" customHeight="1">
      <c r="B67" s="127" t="s">
        <v>333</v>
      </c>
      <c r="C67" s="138" t="s">
        <v>334</v>
      </c>
      <c r="D67" s="127" t="s">
        <v>322</v>
      </c>
      <c r="E67" s="127">
        <v>10.6</v>
      </c>
    </row>
    <row r="68" spans="2:5" ht="45">
      <c r="B68" s="127" t="s">
        <v>335</v>
      </c>
      <c r="C68" s="136" t="s">
        <v>336</v>
      </c>
      <c r="D68" s="127" t="s">
        <v>322</v>
      </c>
      <c r="E68" s="127">
        <v>0</v>
      </c>
    </row>
    <row r="69" spans="2:5" ht="45">
      <c r="B69" s="127" t="s">
        <v>337</v>
      </c>
      <c r="C69" s="136" t="s">
        <v>466</v>
      </c>
      <c r="D69" s="127" t="s">
        <v>322</v>
      </c>
      <c r="E69" s="127">
        <v>0</v>
      </c>
    </row>
    <row r="70" spans="2:5" ht="45">
      <c r="B70" s="127" t="s">
        <v>339</v>
      </c>
      <c r="C70" s="136" t="s">
        <v>467</v>
      </c>
      <c r="D70" s="127" t="s">
        <v>3</v>
      </c>
      <c r="E70" s="127">
        <v>0</v>
      </c>
    </row>
    <row r="71" spans="2:5" ht="30">
      <c r="B71" s="127" t="s">
        <v>341</v>
      </c>
      <c r="C71" s="136" t="s">
        <v>342</v>
      </c>
      <c r="D71" s="127" t="s">
        <v>322</v>
      </c>
      <c r="E71" s="127">
        <v>14.7</v>
      </c>
    </row>
    <row r="72" spans="2:5" ht="30">
      <c r="B72" s="127" t="s">
        <v>341</v>
      </c>
      <c r="C72" s="136" t="s">
        <v>344</v>
      </c>
      <c r="D72" s="127" t="s">
        <v>322</v>
      </c>
      <c r="E72" s="127">
        <v>48.5</v>
      </c>
    </row>
    <row r="73" spans="2:5" ht="15">
      <c r="B73" s="125"/>
      <c r="C73" s="125"/>
      <c r="D73" s="125"/>
      <c r="E73" s="125"/>
    </row>
    <row r="75" ht="15">
      <c r="C75" s="72" t="s">
        <v>468</v>
      </c>
    </row>
  </sheetData>
  <sheetProtection/>
  <mergeCells count="2"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77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7109375" style="1" customWidth="1"/>
    <col min="2" max="2" width="5.140625" style="73" customWidth="1"/>
    <col min="3" max="3" width="41.421875" style="73" customWidth="1"/>
    <col min="4" max="4" width="9.57421875" style="5" customWidth="1"/>
    <col min="5" max="5" width="7.7109375" style="5" customWidth="1"/>
    <col min="6" max="6" width="7.421875" style="5" customWidth="1"/>
    <col min="7" max="7" width="10.7109375" style="5" customWidth="1"/>
    <col min="8" max="8" width="6.57421875" style="5" customWidth="1"/>
    <col min="9" max="16384" width="9.140625" style="1" customWidth="1"/>
  </cols>
  <sheetData>
    <row r="1" spans="3:8" ht="15.75">
      <c r="C1" s="159" t="s">
        <v>0</v>
      </c>
      <c r="D1" s="159"/>
      <c r="E1" s="159"/>
      <c r="F1" s="159"/>
      <c r="G1" s="159"/>
      <c r="H1" s="159"/>
    </row>
    <row r="2" spans="3:8" ht="15.75">
      <c r="C2" s="159" t="s">
        <v>498</v>
      </c>
      <c r="D2" s="159"/>
      <c r="E2" s="159"/>
      <c r="F2" s="159"/>
      <c r="G2" s="159"/>
      <c r="H2" s="159"/>
    </row>
    <row r="3" spans="5:8" ht="15.75">
      <c r="E3" s="160" t="s">
        <v>469</v>
      </c>
      <c r="F3" s="160"/>
      <c r="G3" s="160"/>
      <c r="H3" s="160"/>
    </row>
    <row r="5" spans="1:8" ht="35.25" customHeight="1">
      <c r="A5" s="74"/>
      <c r="B5" s="172" t="s">
        <v>470</v>
      </c>
      <c r="C5" s="172"/>
      <c r="D5" s="172"/>
      <c r="E5" s="172"/>
      <c r="F5" s="172"/>
      <c r="G5" s="172"/>
      <c r="H5" s="172"/>
    </row>
    <row r="6" spans="1:8" ht="12.75">
      <c r="A6" s="74"/>
      <c r="B6" s="75"/>
      <c r="C6" s="75"/>
      <c r="D6" s="76"/>
      <c r="E6" s="76"/>
      <c r="F6" s="76"/>
      <c r="G6" s="76"/>
      <c r="H6" s="76" t="s">
        <v>471</v>
      </c>
    </row>
    <row r="7" spans="1:8" ht="12.75" customHeight="1">
      <c r="A7" s="158" t="s">
        <v>4</v>
      </c>
      <c r="B7" s="173" t="s">
        <v>472</v>
      </c>
      <c r="C7" s="174" t="s">
        <v>6</v>
      </c>
      <c r="D7" s="175" t="s">
        <v>7</v>
      </c>
      <c r="E7" s="158" t="s">
        <v>8</v>
      </c>
      <c r="F7" s="158" t="s">
        <v>473</v>
      </c>
      <c r="G7" s="158"/>
      <c r="H7" s="77"/>
    </row>
    <row r="8" spans="1:8" ht="12.75" customHeight="1">
      <c r="A8" s="164"/>
      <c r="B8" s="173"/>
      <c r="C8" s="174"/>
      <c r="D8" s="176"/>
      <c r="E8" s="158"/>
      <c r="F8" s="158" t="s">
        <v>10</v>
      </c>
      <c r="G8" s="158"/>
      <c r="H8" s="158" t="s">
        <v>474</v>
      </c>
    </row>
    <row r="9" spans="1:8" ht="36" customHeight="1">
      <c r="A9" s="164"/>
      <c r="B9" s="173"/>
      <c r="C9" s="174"/>
      <c r="D9" s="177"/>
      <c r="E9" s="158"/>
      <c r="F9" s="6" t="s">
        <v>475</v>
      </c>
      <c r="G9" s="6" t="s">
        <v>476</v>
      </c>
      <c r="H9" s="158"/>
    </row>
    <row r="10" spans="1:13" s="78" customFormat="1" ht="12.75" customHeight="1">
      <c r="A10" s="8">
        <v>1</v>
      </c>
      <c r="B10" s="10" t="s">
        <v>13</v>
      </c>
      <c r="C10" s="10" t="s">
        <v>477</v>
      </c>
      <c r="D10" s="6">
        <v>4</v>
      </c>
      <c r="E10" s="6">
        <v>5</v>
      </c>
      <c r="F10" s="6">
        <v>6</v>
      </c>
      <c r="G10" s="6">
        <v>7</v>
      </c>
      <c r="H10" s="8">
        <v>8</v>
      </c>
      <c r="I10" s="1"/>
      <c r="J10" s="1"/>
      <c r="K10" s="1"/>
      <c r="L10" s="1"/>
      <c r="M10" s="1"/>
    </row>
    <row r="11" spans="1:13" s="78" customFormat="1" ht="12.75" customHeight="1">
      <c r="A11" s="77">
        <v>1</v>
      </c>
      <c r="B11" s="9" t="s">
        <v>14</v>
      </c>
      <c r="C11" s="93" t="s">
        <v>15</v>
      </c>
      <c r="D11" s="6"/>
      <c r="E11" s="52">
        <f>+F11+H11</f>
        <v>43888.7</v>
      </c>
      <c r="F11" s="52">
        <f>+F12+F62</f>
        <v>43832.799999999996</v>
      </c>
      <c r="G11" s="52">
        <f>+G12+G62</f>
        <v>31915.1</v>
      </c>
      <c r="H11" s="52">
        <f>+H12+H62</f>
        <v>55.900000000000006</v>
      </c>
      <c r="I11" s="1"/>
      <c r="J11" s="1"/>
      <c r="K11" s="1"/>
      <c r="L11" s="1"/>
      <c r="M11" s="1"/>
    </row>
    <row r="12" spans="1:13" s="78" customFormat="1" ht="24.75" customHeight="1">
      <c r="A12" s="12">
        <v>2</v>
      </c>
      <c r="B12" s="13" t="s">
        <v>478</v>
      </c>
      <c r="C12" s="85" t="s">
        <v>479</v>
      </c>
      <c r="D12" s="147"/>
      <c r="E12" s="148">
        <f>+F12+H12</f>
        <v>42155.799999999996</v>
      </c>
      <c r="F12" s="148">
        <f>+F13+F14+F15+F16+F17+F18+F19+F20+F21+F22+F23+F24+F25+F30+F27+F32+F26+F33+F34+F28+F29+F31+F35+F36+F37+F38+F39+F40+F41+F42+F43+F44+F45+F46+F47+F48+F49+F50+F51+F52+F53+F54+F59+F60+F61</f>
        <v>42099.899999999994</v>
      </c>
      <c r="G12" s="148">
        <f>+G13+G14+G15+G16+G17+G18+G19+G20+G21+G22+G23+G24+G25+G30+G27+G32+G26+G33+G34+G28+G29+G31+G35+G36+G37+G38+G39+G40+G41+G42+G43+G44+G45+G46+G47+G48+G49+G50+G51+G52+G53+G54+G59+G60+G61</f>
        <v>30937.199999999997</v>
      </c>
      <c r="H12" s="148">
        <f>+H13+H14+H15+H16+H17+H18+H19+H20+H21+H22+H23+H24+H25+H30+H27+H32+H26+H33+H34+H28+H29+H31+H35+H36+H37+H38+H39+H40+H41+H42+H43+H44+H45+H46+H47+H48+H49+H50+H51+H52+H53+H54+H59+H60+H61</f>
        <v>55.900000000000006</v>
      </c>
      <c r="I12" s="1"/>
      <c r="J12" s="1"/>
      <c r="K12" s="1"/>
      <c r="L12" s="1"/>
      <c r="M12" s="1"/>
    </row>
    <row r="13" spans="1:8" ht="12.75" customHeight="1">
      <c r="A13" s="77">
        <v>3</v>
      </c>
      <c r="B13" s="79"/>
      <c r="C13" s="14" t="s">
        <v>16</v>
      </c>
      <c r="D13" s="80" t="s">
        <v>17</v>
      </c>
      <c r="E13" s="17">
        <f>+F13+H13</f>
        <v>436.7</v>
      </c>
      <c r="F13" s="17">
        <f>437.7-1</f>
        <v>436.7</v>
      </c>
      <c r="G13" s="17">
        <f>319.4-0.6</f>
        <v>318.79999999999995</v>
      </c>
      <c r="H13" s="17"/>
    </row>
    <row r="14" spans="1:8" ht="12.75" customHeight="1">
      <c r="A14" s="12">
        <v>4</v>
      </c>
      <c r="B14" s="79"/>
      <c r="C14" s="14" t="s">
        <v>18</v>
      </c>
      <c r="D14" s="80" t="s">
        <v>17</v>
      </c>
      <c r="E14" s="17">
        <f aca="true" t="shared" si="0" ref="E14:E61">+F14+H14</f>
        <v>503.90000000000003</v>
      </c>
      <c r="F14" s="17">
        <f>495.3+8.6</f>
        <v>503.90000000000003</v>
      </c>
      <c r="G14" s="17">
        <f>359.8+6.6</f>
        <v>366.40000000000003</v>
      </c>
      <c r="H14" s="17"/>
    </row>
    <row r="15" spans="1:8" ht="12.75" customHeight="1">
      <c r="A15" s="77">
        <v>5</v>
      </c>
      <c r="B15" s="79"/>
      <c r="C15" s="14" t="s">
        <v>19</v>
      </c>
      <c r="D15" s="80" t="s">
        <v>17</v>
      </c>
      <c r="E15" s="17">
        <f t="shared" si="0"/>
        <v>477.8</v>
      </c>
      <c r="F15" s="17">
        <f>490-3-12.2</f>
        <v>474.8</v>
      </c>
      <c r="G15" s="17">
        <f>358.4-8.9</f>
        <v>349.5</v>
      </c>
      <c r="H15" s="17">
        <v>3</v>
      </c>
    </row>
    <row r="16" spans="1:8" ht="12.75" customHeight="1">
      <c r="A16" s="12">
        <v>6</v>
      </c>
      <c r="B16" s="79"/>
      <c r="C16" s="14" t="s">
        <v>20</v>
      </c>
      <c r="D16" s="80" t="s">
        <v>17</v>
      </c>
      <c r="E16" s="17">
        <f t="shared" si="0"/>
        <v>487.5</v>
      </c>
      <c r="F16" s="17">
        <f>490.4-2.9</f>
        <v>487.5</v>
      </c>
      <c r="G16" s="17">
        <f>356.1-1.8</f>
        <v>354.3</v>
      </c>
      <c r="H16" s="17"/>
    </row>
    <row r="17" spans="1:8" ht="12.75" customHeight="1">
      <c r="A17" s="77">
        <v>7</v>
      </c>
      <c r="B17" s="79"/>
      <c r="C17" s="18" t="s">
        <v>21</v>
      </c>
      <c r="D17" s="80" t="s">
        <v>17</v>
      </c>
      <c r="E17" s="17">
        <f t="shared" si="0"/>
        <v>120.10000000000001</v>
      </c>
      <c r="F17" s="17">
        <f>120.4-0.3</f>
        <v>120.10000000000001</v>
      </c>
      <c r="G17" s="17">
        <v>87.7</v>
      </c>
      <c r="H17" s="17"/>
    </row>
    <row r="18" spans="1:8" ht="12.75" customHeight="1">
      <c r="A18" s="12">
        <v>8</v>
      </c>
      <c r="B18" s="79"/>
      <c r="C18" s="18" t="s">
        <v>480</v>
      </c>
      <c r="D18" s="80" t="s">
        <v>17</v>
      </c>
      <c r="E18" s="17">
        <f t="shared" si="0"/>
        <v>86.7</v>
      </c>
      <c r="F18" s="17">
        <f>84+2.7</f>
        <v>86.7</v>
      </c>
      <c r="G18" s="17">
        <f>61.1+2.1</f>
        <v>63.2</v>
      </c>
      <c r="H18" s="17"/>
    </row>
    <row r="19" spans="1:8" ht="12.75" customHeight="1">
      <c r="A19" s="77">
        <v>9</v>
      </c>
      <c r="B19" s="79"/>
      <c r="C19" s="14" t="s">
        <v>23</v>
      </c>
      <c r="D19" s="80" t="s">
        <v>17</v>
      </c>
      <c r="E19" s="17">
        <f t="shared" si="0"/>
        <v>175.6</v>
      </c>
      <c r="F19" s="17">
        <f>182.5-6.9</f>
        <v>175.6</v>
      </c>
      <c r="G19" s="17">
        <f>133.4-5</f>
        <v>128.4</v>
      </c>
      <c r="H19" s="17"/>
    </row>
    <row r="20" spans="1:8" ht="12.75" customHeight="1">
      <c r="A20" s="12">
        <v>10</v>
      </c>
      <c r="B20" s="79"/>
      <c r="C20" s="14" t="s">
        <v>24</v>
      </c>
      <c r="D20" s="80" t="s">
        <v>25</v>
      </c>
      <c r="E20" s="17">
        <f t="shared" si="0"/>
        <v>478.7</v>
      </c>
      <c r="F20" s="17">
        <f>500.9-1.8-20.4</f>
        <v>478.7</v>
      </c>
      <c r="G20" s="17">
        <f>365.4-1.4-14.6</f>
        <v>349.4</v>
      </c>
      <c r="H20" s="17"/>
    </row>
    <row r="21" spans="1:8" ht="12.75" customHeight="1">
      <c r="A21" s="77">
        <v>11</v>
      </c>
      <c r="B21" s="79"/>
      <c r="C21" s="14" t="s">
        <v>26</v>
      </c>
      <c r="D21" s="80" t="s">
        <v>25</v>
      </c>
      <c r="E21" s="17">
        <f t="shared" si="0"/>
        <v>568.3000000000001</v>
      </c>
      <c r="F21" s="17">
        <f>570.7-1.2-2.4</f>
        <v>567.1</v>
      </c>
      <c r="G21" s="17">
        <f>417.3-1.7</f>
        <v>415.6</v>
      </c>
      <c r="H21" s="17">
        <v>1.2</v>
      </c>
    </row>
    <row r="22" spans="1:8" ht="12.75" customHeight="1">
      <c r="A22" s="12">
        <v>12</v>
      </c>
      <c r="B22" s="79"/>
      <c r="C22" s="14" t="s">
        <v>27</v>
      </c>
      <c r="D22" s="80" t="s">
        <v>25</v>
      </c>
      <c r="E22" s="17">
        <f t="shared" si="0"/>
        <v>666.6999999999999</v>
      </c>
      <c r="F22" s="17">
        <f>661.4+1.8+3.5</f>
        <v>666.6999999999999</v>
      </c>
      <c r="G22" s="17">
        <f>482.7+1.4+2.9</f>
        <v>486.99999999999994</v>
      </c>
      <c r="H22" s="17"/>
    </row>
    <row r="23" spans="1:8" ht="12.75" customHeight="1">
      <c r="A23" s="77">
        <v>13</v>
      </c>
      <c r="B23" s="79"/>
      <c r="C23" s="18" t="s">
        <v>28</v>
      </c>
      <c r="D23" s="80" t="s">
        <v>25</v>
      </c>
      <c r="E23" s="17">
        <f t="shared" si="0"/>
        <v>495.6</v>
      </c>
      <c r="F23" s="17">
        <f>493.6+2</f>
        <v>495.6</v>
      </c>
      <c r="G23" s="17">
        <f>363+1.9</f>
        <v>364.9</v>
      </c>
      <c r="H23" s="17"/>
    </row>
    <row r="24" spans="1:8" ht="25.5" customHeight="1">
      <c r="A24" s="12">
        <v>14</v>
      </c>
      <c r="B24" s="79"/>
      <c r="C24" s="18" t="s">
        <v>29</v>
      </c>
      <c r="D24" s="80" t="s">
        <v>25</v>
      </c>
      <c r="E24" s="17">
        <f t="shared" si="0"/>
        <v>428.8</v>
      </c>
      <c r="F24" s="17">
        <f>435.8-7</f>
        <v>428.8</v>
      </c>
      <c r="G24" s="17">
        <f>322.3-5.5</f>
        <v>316.8</v>
      </c>
      <c r="H24" s="17"/>
    </row>
    <row r="25" spans="1:8" ht="12.75" customHeight="1">
      <c r="A25" s="77">
        <v>15</v>
      </c>
      <c r="B25" s="79"/>
      <c r="C25" s="18" t="s">
        <v>30</v>
      </c>
      <c r="D25" s="80" t="s">
        <v>25</v>
      </c>
      <c r="E25" s="17">
        <f t="shared" si="0"/>
        <v>662.7</v>
      </c>
      <c r="F25" s="17">
        <f>658+4.7</f>
        <v>662.7</v>
      </c>
      <c r="G25" s="17">
        <f>483.8+4.5</f>
        <v>488.3</v>
      </c>
      <c r="H25" s="17"/>
    </row>
    <row r="26" spans="1:8" ht="12.75" customHeight="1">
      <c r="A26" s="12">
        <v>16</v>
      </c>
      <c r="B26" s="79"/>
      <c r="C26" s="14" t="s">
        <v>31</v>
      </c>
      <c r="D26" s="80" t="s">
        <v>32</v>
      </c>
      <c r="E26" s="17">
        <f>+F26+H26</f>
        <v>3384.8999999999996</v>
      </c>
      <c r="F26" s="17">
        <f>3449.7-5+2-66.8</f>
        <v>3379.8999999999996</v>
      </c>
      <c r="G26" s="17">
        <f>2553.6+1.5-48</f>
        <v>2507.1</v>
      </c>
      <c r="H26" s="17">
        <v>5</v>
      </c>
    </row>
    <row r="27" spans="1:8" ht="12.75" customHeight="1">
      <c r="A27" s="77">
        <v>17</v>
      </c>
      <c r="B27" s="79"/>
      <c r="C27" s="14" t="s">
        <v>33</v>
      </c>
      <c r="D27" s="80" t="s">
        <v>32</v>
      </c>
      <c r="E27" s="17">
        <f>+F27+H27</f>
        <v>2287.7</v>
      </c>
      <c r="F27" s="17">
        <f>2297.1-2.3-7.1</f>
        <v>2287.7</v>
      </c>
      <c r="G27" s="17">
        <f>1704.6-1.8-5</f>
        <v>1697.8</v>
      </c>
      <c r="H27" s="17"/>
    </row>
    <row r="28" spans="1:8" ht="12.75" customHeight="1">
      <c r="A28" s="12">
        <v>18</v>
      </c>
      <c r="B28" s="79"/>
      <c r="C28" s="20" t="s">
        <v>34</v>
      </c>
      <c r="D28" s="80" t="s">
        <v>32</v>
      </c>
      <c r="E28" s="17">
        <f>+F28+H28</f>
        <v>1998.5</v>
      </c>
      <c r="F28" s="17">
        <f>2030.6+2-2.3-1.4-31.8</f>
        <v>1997.1</v>
      </c>
      <c r="G28" s="17">
        <f>1507.7+1.5-1.8-23.7</f>
        <v>1483.7</v>
      </c>
      <c r="H28" s="17">
        <v>1.4</v>
      </c>
    </row>
    <row r="29" spans="1:8" ht="12.75" customHeight="1">
      <c r="A29" s="77">
        <v>19</v>
      </c>
      <c r="B29" s="79"/>
      <c r="C29" s="20" t="s">
        <v>35</v>
      </c>
      <c r="D29" s="80" t="s">
        <v>32</v>
      </c>
      <c r="E29" s="17">
        <f>+F29+H29</f>
        <v>1681.6</v>
      </c>
      <c r="F29" s="17">
        <f>1681.1-6.9+7.4</f>
        <v>1681.6</v>
      </c>
      <c r="G29" s="17">
        <f>1249.3-5.3+5.2</f>
        <v>1249.2</v>
      </c>
      <c r="H29" s="17"/>
    </row>
    <row r="30" spans="1:8" ht="12.75" customHeight="1">
      <c r="A30" s="12">
        <v>20</v>
      </c>
      <c r="B30" s="79"/>
      <c r="C30" s="18" t="s">
        <v>36</v>
      </c>
      <c r="D30" s="80" t="s">
        <v>32</v>
      </c>
      <c r="E30" s="17">
        <f t="shared" si="0"/>
        <v>2156.2999999999997</v>
      </c>
      <c r="F30" s="17">
        <f>2218.6+5.6-1.8-66.1</f>
        <v>2156.2999999999997</v>
      </c>
      <c r="G30" s="17">
        <f>1646.6+4.3-1.4-48.8</f>
        <v>1600.6999999999998</v>
      </c>
      <c r="H30" s="17"/>
    </row>
    <row r="31" spans="1:8" ht="12.75" customHeight="1">
      <c r="A31" s="77">
        <v>21</v>
      </c>
      <c r="B31" s="79"/>
      <c r="C31" s="19" t="s">
        <v>37</v>
      </c>
      <c r="D31" s="80" t="s">
        <v>32</v>
      </c>
      <c r="E31" s="17">
        <f>+F31+H31</f>
        <v>2057.3999999999996</v>
      </c>
      <c r="F31" s="17">
        <f>2073.6-3-3+7.6-4-19.8</f>
        <v>2051.3999999999996</v>
      </c>
      <c r="G31" s="17">
        <f>1537.4+5.8-3.1-14.5</f>
        <v>1525.6000000000001</v>
      </c>
      <c r="H31" s="17">
        <v>6</v>
      </c>
    </row>
    <row r="32" spans="1:8" ht="12.75" customHeight="1">
      <c r="A32" s="12">
        <v>22</v>
      </c>
      <c r="B32" s="79"/>
      <c r="C32" s="18" t="s">
        <v>38</v>
      </c>
      <c r="D32" s="80" t="s">
        <v>32</v>
      </c>
      <c r="E32" s="17">
        <f t="shared" si="0"/>
        <v>770.3</v>
      </c>
      <c r="F32" s="17">
        <f>663.3+2.5+27.7+76.8</f>
        <v>770.3</v>
      </c>
      <c r="G32" s="17">
        <f>483.6+1.9+21.1+55.8</f>
        <v>562.4</v>
      </c>
      <c r="H32" s="17"/>
    </row>
    <row r="33" spans="1:8" ht="12.75" customHeight="1">
      <c r="A33" s="77">
        <v>23</v>
      </c>
      <c r="B33" s="79"/>
      <c r="C33" s="14" t="s">
        <v>39</v>
      </c>
      <c r="D33" s="80" t="s">
        <v>32</v>
      </c>
      <c r="E33" s="17">
        <f t="shared" si="0"/>
        <v>3082.9000000000005</v>
      </c>
      <c r="F33" s="17">
        <f>3211.9-10+3.8-3.6-129.2</f>
        <v>3072.9000000000005</v>
      </c>
      <c r="G33" s="17">
        <f>2374.5+2.9-2.7-95.5</f>
        <v>2279.2000000000003</v>
      </c>
      <c r="H33" s="17">
        <v>10</v>
      </c>
    </row>
    <row r="34" spans="1:8" ht="12.75" customHeight="1">
      <c r="A34" s="12">
        <v>24</v>
      </c>
      <c r="B34" s="79"/>
      <c r="C34" s="14" t="s">
        <v>40</v>
      </c>
      <c r="D34" s="80" t="s">
        <v>32</v>
      </c>
      <c r="E34" s="17">
        <f t="shared" si="0"/>
        <v>3585.0999999999995</v>
      </c>
      <c r="F34" s="17">
        <f>3687.2-15-1.8-100.3</f>
        <v>3570.0999999999995</v>
      </c>
      <c r="G34" s="17">
        <f>2719.9-1.4-73.5</f>
        <v>2645</v>
      </c>
      <c r="H34" s="17">
        <v>15</v>
      </c>
    </row>
    <row r="35" spans="1:8" ht="12.75" customHeight="1">
      <c r="A35" s="12">
        <v>25</v>
      </c>
      <c r="B35" s="79"/>
      <c r="C35" s="18" t="s">
        <v>41</v>
      </c>
      <c r="D35" s="24" t="s">
        <v>481</v>
      </c>
      <c r="E35" s="17">
        <f t="shared" si="0"/>
        <v>2520.1</v>
      </c>
      <c r="F35" s="17">
        <f>2605.1-3.6-81.4</f>
        <v>2520.1</v>
      </c>
      <c r="G35" s="17">
        <f>1927.1-2.7-60.5</f>
        <v>1863.8999999999999</v>
      </c>
      <c r="H35" s="17"/>
    </row>
    <row r="36" spans="1:8" ht="12.75" customHeight="1">
      <c r="A36" s="12">
        <v>26</v>
      </c>
      <c r="B36" s="79"/>
      <c r="C36" s="18" t="s">
        <v>43</v>
      </c>
      <c r="D36" s="24" t="s">
        <v>481</v>
      </c>
      <c r="E36" s="17">
        <f t="shared" si="0"/>
        <v>1145.3000000000002</v>
      </c>
      <c r="F36" s="17">
        <f>1167.4+2-24.1</f>
        <v>1145.3000000000002</v>
      </c>
      <c r="G36" s="17">
        <f>868.1+1.5-18.7</f>
        <v>850.9</v>
      </c>
      <c r="H36" s="17"/>
    </row>
    <row r="37" spans="1:8" ht="12.75" customHeight="1">
      <c r="A37" s="12">
        <v>27</v>
      </c>
      <c r="B37" s="79"/>
      <c r="C37" s="18" t="s">
        <v>44</v>
      </c>
      <c r="D37" s="80" t="s">
        <v>42</v>
      </c>
      <c r="E37" s="17">
        <f t="shared" si="0"/>
        <v>478.6</v>
      </c>
      <c r="F37" s="17">
        <f>515.1-36.5</f>
        <v>478.6</v>
      </c>
      <c r="G37" s="17">
        <f>386.2-120-2.8</f>
        <v>263.4</v>
      </c>
      <c r="H37" s="17"/>
    </row>
    <row r="38" spans="1:8" ht="12.75" customHeight="1">
      <c r="A38" s="12">
        <v>28</v>
      </c>
      <c r="B38" s="79"/>
      <c r="C38" s="18" t="s">
        <v>45</v>
      </c>
      <c r="D38" s="80" t="s">
        <v>42</v>
      </c>
      <c r="E38" s="17">
        <f t="shared" si="0"/>
        <v>782.1999999999999</v>
      </c>
      <c r="F38" s="17">
        <f>798.3+1.9-18</f>
        <v>782.1999999999999</v>
      </c>
      <c r="G38" s="17">
        <f>595.5+1.5-13.8</f>
        <v>583.2</v>
      </c>
      <c r="H38" s="17"/>
    </row>
    <row r="39" spans="1:8" ht="12.75" customHeight="1">
      <c r="A39" s="12">
        <v>29</v>
      </c>
      <c r="B39" s="79"/>
      <c r="C39" s="18" t="s">
        <v>46</v>
      </c>
      <c r="D39" s="80" t="s">
        <v>42</v>
      </c>
      <c r="E39" s="17">
        <f t="shared" si="0"/>
        <v>844.6</v>
      </c>
      <c r="F39" s="17">
        <f>871.1-2-2.2+3.8-30.3</f>
        <v>840.4</v>
      </c>
      <c r="G39" s="17">
        <f>650+2.9-22.3</f>
        <v>630.6</v>
      </c>
      <c r="H39" s="17">
        <v>4.2</v>
      </c>
    </row>
    <row r="40" spans="1:8" ht="12.75" customHeight="1">
      <c r="A40" s="12">
        <v>30</v>
      </c>
      <c r="B40" s="79"/>
      <c r="C40" s="18" t="s">
        <v>47</v>
      </c>
      <c r="D40" s="80" t="s">
        <v>42</v>
      </c>
      <c r="E40" s="17">
        <f t="shared" si="0"/>
        <v>615</v>
      </c>
      <c r="F40" s="17">
        <f>656.4+1.5-4-38.9</f>
        <v>615</v>
      </c>
      <c r="G40" s="17">
        <f>491.6+1.1-3.1-141.8-22.7</f>
        <v>325.1</v>
      </c>
      <c r="H40" s="17"/>
    </row>
    <row r="41" spans="1:8" ht="12.75" customHeight="1">
      <c r="A41" s="12">
        <v>31</v>
      </c>
      <c r="B41" s="79"/>
      <c r="C41" s="18" t="s">
        <v>48</v>
      </c>
      <c r="D41" s="80" t="s">
        <v>42</v>
      </c>
      <c r="E41" s="17">
        <f t="shared" si="0"/>
        <v>801.8</v>
      </c>
      <c r="F41" s="17">
        <f>772.5+6.9+22.4</f>
        <v>801.8</v>
      </c>
      <c r="G41" s="17">
        <f>575.6+5.3+16.7</f>
        <v>597.6</v>
      </c>
      <c r="H41" s="17"/>
    </row>
    <row r="42" spans="1:8" ht="12.75" customHeight="1">
      <c r="A42" s="12">
        <v>32</v>
      </c>
      <c r="B42" s="79"/>
      <c r="C42" s="18" t="s">
        <v>49</v>
      </c>
      <c r="D42" s="80" t="s">
        <v>42</v>
      </c>
      <c r="E42" s="17">
        <f t="shared" si="0"/>
        <v>513.9</v>
      </c>
      <c r="F42" s="17">
        <f>535.7+2.5-5.7-18.6-0.9</f>
        <v>513</v>
      </c>
      <c r="G42" s="17">
        <f>401.8+1.9-4.4-14</f>
        <v>385.3</v>
      </c>
      <c r="H42" s="17">
        <v>0.9</v>
      </c>
    </row>
    <row r="43" spans="1:8" ht="12.75" customHeight="1">
      <c r="A43" s="12">
        <v>33</v>
      </c>
      <c r="B43" s="79"/>
      <c r="C43" s="18" t="s">
        <v>50</v>
      </c>
      <c r="D43" s="80" t="s">
        <v>42</v>
      </c>
      <c r="E43" s="17">
        <f t="shared" si="0"/>
        <v>701.7</v>
      </c>
      <c r="F43" s="17">
        <f>744.3-1.3-2.3-8-34.6</f>
        <v>698.1</v>
      </c>
      <c r="G43" s="17">
        <f>556.9-6.1-25.7</f>
        <v>525.0999999999999</v>
      </c>
      <c r="H43" s="17">
        <v>3.6</v>
      </c>
    </row>
    <row r="44" spans="1:8" ht="12.75" customHeight="1">
      <c r="A44" s="12">
        <v>34</v>
      </c>
      <c r="B44" s="79"/>
      <c r="C44" s="149" t="s">
        <v>51</v>
      </c>
      <c r="D44" s="80" t="s">
        <v>42</v>
      </c>
      <c r="E44" s="17">
        <f t="shared" si="0"/>
        <v>725</v>
      </c>
      <c r="F44" s="17">
        <f>740.7-15.7</f>
        <v>725</v>
      </c>
      <c r="G44" s="17">
        <f>553-11.7</f>
        <v>541.3</v>
      </c>
      <c r="H44" s="17"/>
    </row>
    <row r="45" spans="1:8" ht="12.75" customHeight="1">
      <c r="A45" s="12">
        <v>35</v>
      </c>
      <c r="B45" s="79"/>
      <c r="C45" s="18" t="s">
        <v>52</v>
      </c>
      <c r="D45" s="80" t="s">
        <v>42</v>
      </c>
      <c r="E45" s="17">
        <f t="shared" si="0"/>
        <v>824</v>
      </c>
      <c r="F45" s="17">
        <f>844.3-2.9-17.4</f>
        <v>824</v>
      </c>
      <c r="G45" s="17">
        <f>631.4-2.2-13.2</f>
        <v>615.9999999999999</v>
      </c>
      <c r="H45" s="17"/>
    </row>
    <row r="46" spans="1:8" ht="12.75" customHeight="1">
      <c r="A46" s="12">
        <v>36</v>
      </c>
      <c r="B46" s="79"/>
      <c r="C46" s="18" t="s">
        <v>53</v>
      </c>
      <c r="D46" s="80" t="s">
        <v>42</v>
      </c>
      <c r="E46" s="17">
        <f t="shared" si="0"/>
        <v>544.1</v>
      </c>
      <c r="F46" s="17">
        <f>556.9-12.8</f>
        <v>544.1</v>
      </c>
      <c r="G46" s="17">
        <f>416.3-9.6</f>
        <v>406.7</v>
      </c>
      <c r="H46" s="17"/>
    </row>
    <row r="47" spans="1:8" ht="12.75" customHeight="1">
      <c r="A47" s="12">
        <v>37</v>
      </c>
      <c r="B47" s="79"/>
      <c r="C47" s="18" t="s">
        <v>54</v>
      </c>
      <c r="D47" s="80" t="s">
        <v>42</v>
      </c>
      <c r="E47" s="17">
        <f t="shared" si="0"/>
        <v>850.4000000000001</v>
      </c>
      <c r="F47" s="17">
        <f>886.2-35.8</f>
        <v>850.4000000000001</v>
      </c>
      <c r="G47" s="17">
        <f>662.2-26.9</f>
        <v>635.3000000000001</v>
      </c>
      <c r="H47" s="17"/>
    </row>
    <row r="48" spans="1:8" ht="24" customHeight="1">
      <c r="A48" s="12">
        <v>38</v>
      </c>
      <c r="B48" s="79"/>
      <c r="C48" s="19" t="s">
        <v>55</v>
      </c>
      <c r="D48" s="150" t="s">
        <v>56</v>
      </c>
      <c r="E48" s="17">
        <f t="shared" si="0"/>
        <v>1133.8999999999999</v>
      </c>
      <c r="F48" s="17">
        <f>1153.8+7.3-16.5+2.1-12.8</f>
        <v>1133.8999999999999</v>
      </c>
      <c r="G48" s="17">
        <f>864.6+5.6-12.6+1.6-9.5</f>
        <v>849.7</v>
      </c>
      <c r="H48" s="17"/>
    </row>
    <row r="49" spans="1:8" ht="12.75" customHeight="1">
      <c r="A49" s="12">
        <v>39</v>
      </c>
      <c r="B49" s="79"/>
      <c r="C49" s="19" t="s">
        <v>110</v>
      </c>
      <c r="D49" s="80" t="s">
        <v>42</v>
      </c>
      <c r="E49" s="17">
        <f t="shared" si="0"/>
        <v>1513.1</v>
      </c>
      <c r="F49" s="17">
        <f>1540.1-3.1+3.8-6.5-24.3</f>
        <v>1510</v>
      </c>
      <c r="G49" s="17">
        <f>1156.9+2.9-5-1-18.1</f>
        <v>1135.7000000000003</v>
      </c>
      <c r="H49" s="17">
        <v>3.1</v>
      </c>
    </row>
    <row r="50" spans="1:8" ht="12.75" customHeight="1">
      <c r="A50" s="12">
        <v>40</v>
      </c>
      <c r="B50" s="79"/>
      <c r="C50" s="14" t="s">
        <v>57</v>
      </c>
      <c r="D50" s="80" t="s">
        <v>58</v>
      </c>
      <c r="E50" s="17">
        <f t="shared" si="0"/>
        <v>13.3</v>
      </c>
      <c r="F50" s="17">
        <f>13.3</f>
        <v>13.3</v>
      </c>
      <c r="G50" s="17">
        <v>10.2</v>
      </c>
      <c r="H50" s="17"/>
    </row>
    <row r="51" spans="1:8" ht="12.75" customHeight="1">
      <c r="A51" s="12">
        <v>41</v>
      </c>
      <c r="B51" s="79"/>
      <c r="C51" s="14" t="s">
        <v>59</v>
      </c>
      <c r="D51" s="80" t="s">
        <v>58</v>
      </c>
      <c r="E51" s="17">
        <f t="shared" si="0"/>
        <v>14.6</v>
      </c>
      <c r="F51" s="17">
        <f>14.6</f>
        <v>14.6</v>
      </c>
      <c r="G51" s="17">
        <v>11.1</v>
      </c>
      <c r="H51" s="17"/>
    </row>
    <row r="52" spans="1:8" ht="12.75" customHeight="1">
      <c r="A52" s="12">
        <v>42</v>
      </c>
      <c r="B52" s="79"/>
      <c r="C52" s="14" t="s">
        <v>60</v>
      </c>
      <c r="D52" s="80" t="s">
        <v>58</v>
      </c>
      <c r="E52" s="17">
        <f t="shared" si="0"/>
        <v>27</v>
      </c>
      <c r="F52" s="17">
        <v>27</v>
      </c>
      <c r="G52" s="17">
        <v>20.6</v>
      </c>
      <c r="H52" s="17"/>
    </row>
    <row r="53" spans="1:8" ht="12.75" customHeight="1">
      <c r="A53" s="12">
        <v>43</v>
      </c>
      <c r="B53" s="79"/>
      <c r="C53" s="14" t="s">
        <v>61</v>
      </c>
      <c r="D53" s="15" t="s">
        <v>58</v>
      </c>
      <c r="E53" s="17">
        <f t="shared" si="0"/>
        <v>29.9</v>
      </c>
      <c r="F53" s="17">
        <f>29.9</f>
        <v>29.9</v>
      </c>
      <c r="G53" s="17">
        <v>22.8</v>
      </c>
      <c r="H53" s="17"/>
    </row>
    <row r="54" spans="1:8" ht="12.75" customHeight="1">
      <c r="A54" s="12">
        <v>44</v>
      </c>
      <c r="B54" s="79"/>
      <c r="C54" s="14" t="s">
        <v>482</v>
      </c>
      <c r="D54" s="15" t="s">
        <v>58</v>
      </c>
      <c r="E54" s="17">
        <f>+F54+H54</f>
        <v>1127.8</v>
      </c>
      <c r="F54" s="17">
        <f>+F55+F56+F57+F58</f>
        <v>1127.8</v>
      </c>
      <c r="G54" s="17">
        <f>+G55+G56+G57+G58</f>
        <v>815.7</v>
      </c>
      <c r="H54" s="17"/>
    </row>
    <row r="55" spans="1:8" ht="12.75" customHeight="1">
      <c r="A55" s="81" t="s">
        <v>483</v>
      </c>
      <c r="B55" s="82"/>
      <c r="C55" s="151" t="s">
        <v>484</v>
      </c>
      <c r="D55" s="15"/>
      <c r="E55" s="17">
        <f t="shared" si="0"/>
        <v>237.2</v>
      </c>
      <c r="F55" s="17">
        <f>241.5-4.3</f>
        <v>237.2</v>
      </c>
      <c r="G55" s="17">
        <f>184.4-3.3</f>
        <v>181.1</v>
      </c>
      <c r="H55" s="17"/>
    </row>
    <row r="56" spans="1:8" ht="12.75" customHeight="1">
      <c r="A56" s="81" t="s">
        <v>485</v>
      </c>
      <c r="B56" s="82"/>
      <c r="C56" s="151" t="s">
        <v>486</v>
      </c>
      <c r="D56" s="15"/>
      <c r="E56" s="17">
        <f t="shared" si="0"/>
        <v>45.3</v>
      </c>
      <c r="F56" s="17">
        <f>45.3</f>
        <v>45.3</v>
      </c>
      <c r="G56" s="17">
        <v>34.6</v>
      </c>
      <c r="H56" s="17"/>
    </row>
    <row r="57" spans="1:8" ht="12.75" customHeight="1">
      <c r="A57" s="81" t="s">
        <v>487</v>
      </c>
      <c r="B57" s="82"/>
      <c r="C57" s="83" t="s">
        <v>488</v>
      </c>
      <c r="D57" s="15"/>
      <c r="E57" s="17">
        <f t="shared" si="0"/>
        <v>59.4</v>
      </c>
      <c r="F57" s="17">
        <f>29.7+29.7</f>
        <v>59.4</v>
      </c>
      <c r="G57" s="17"/>
      <c r="H57" s="17"/>
    </row>
    <row r="58" spans="1:8" ht="26.25" customHeight="1">
      <c r="A58" s="81" t="s">
        <v>489</v>
      </c>
      <c r="B58" s="82"/>
      <c r="C58" s="83" t="s">
        <v>497</v>
      </c>
      <c r="D58" s="15"/>
      <c r="E58" s="17">
        <f t="shared" si="0"/>
        <v>785.9</v>
      </c>
      <c r="F58" s="17">
        <v>785.9</v>
      </c>
      <c r="G58" s="17">
        <v>600</v>
      </c>
      <c r="H58" s="17"/>
    </row>
    <row r="59" spans="1:8" ht="12.75" customHeight="1">
      <c r="A59" s="12">
        <v>45</v>
      </c>
      <c r="B59" s="79"/>
      <c r="C59" s="152" t="s">
        <v>490</v>
      </c>
      <c r="D59" s="80" t="s">
        <v>17</v>
      </c>
      <c r="E59" s="17">
        <f t="shared" si="0"/>
        <v>129.2</v>
      </c>
      <c r="F59" s="17">
        <f>128.4-2.5+0.8</f>
        <v>126.7</v>
      </c>
      <c r="G59" s="17">
        <f>93.7+0.1+0.6</f>
        <v>94.39999999999999</v>
      </c>
      <c r="H59" s="17">
        <v>2.5</v>
      </c>
    </row>
    <row r="60" spans="1:8" ht="12.75" customHeight="1">
      <c r="A60" s="12">
        <v>46</v>
      </c>
      <c r="B60" s="79"/>
      <c r="C60" s="152" t="s">
        <v>64</v>
      </c>
      <c r="D60" s="80" t="s">
        <v>17</v>
      </c>
      <c r="E60" s="17">
        <f t="shared" si="0"/>
        <v>153</v>
      </c>
      <c r="F60" s="17">
        <f>153.9-1.8+0.9</f>
        <v>153</v>
      </c>
      <c r="G60" s="17">
        <f>112.1+0.1-1.4+0.8</f>
        <v>111.59999999999998</v>
      </c>
      <c r="H60" s="17"/>
    </row>
    <row r="61" spans="1:8" ht="31.5" customHeight="1">
      <c r="A61" s="12">
        <v>47</v>
      </c>
      <c r="B61" s="79"/>
      <c r="C61" s="84" t="s">
        <v>491</v>
      </c>
      <c r="D61" s="80"/>
      <c r="E61" s="17">
        <f t="shared" si="0"/>
        <v>73.5</v>
      </c>
      <c r="F61" s="17">
        <v>73.5</v>
      </c>
      <c r="G61" s="17"/>
      <c r="H61" s="17"/>
    </row>
    <row r="62" spans="1:8" ht="27" customHeight="1">
      <c r="A62" s="12">
        <v>48</v>
      </c>
      <c r="B62" s="29" t="s">
        <v>492</v>
      </c>
      <c r="C62" s="85" t="s">
        <v>493</v>
      </c>
      <c r="D62" s="86"/>
      <c r="E62" s="87">
        <f>+F62+H62</f>
        <v>1732.9</v>
      </c>
      <c r="F62" s="87">
        <f>+F63</f>
        <v>1732.9</v>
      </c>
      <c r="G62" s="87">
        <f>+G63</f>
        <v>977.9</v>
      </c>
      <c r="H62" s="87">
        <f>+H63</f>
        <v>0</v>
      </c>
    </row>
    <row r="63" spans="1:8" ht="15.75" customHeight="1">
      <c r="A63" s="12">
        <v>49</v>
      </c>
      <c r="B63" s="9"/>
      <c r="C63" s="19" t="s">
        <v>110</v>
      </c>
      <c r="D63" s="80" t="s">
        <v>42</v>
      </c>
      <c r="E63" s="17">
        <f>+F63+H63</f>
        <v>1732.9</v>
      </c>
      <c r="F63" s="17">
        <v>1732.9</v>
      </c>
      <c r="G63" s="17">
        <f>1000.9-23</f>
        <v>977.9</v>
      </c>
      <c r="H63" s="17"/>
    </row>
    <row r="64" spans="1:8" ht="12.75" customHeight="1">
      <c r="A64" s="12">
        <v>50</v>
      </c>
      <c r="B64" s="153"/>
      <c r="C64" s="154" t="s">
        <v>494</v>
      </c>
      <c r="D64" s="80"/>
      <c r="E64" s="94">
        <f>+F64+H64</f>
        <v>43888.7</v>
      </c>
      <c r="F64" s="94">
        <f>+F12+F63</f>
        <v>43832.799999999996</v>
      </c>
      <c r="G64" s="94">
        <f>+G12+G63</f>
        <v>31915.1</v>
      </c>
      <c r="H64" s="94">
        <f>+H12+H63</f>
        <v>55.900000000000006</v>
      </c>
    </row>
    <row r="65" spans="3:5" ht="12.75">
      <c r="C65" s="88"/>
      <c r="D65" s="89"/>
      <c r="E65" s="146"/>
    </row>
    <row r="66" spans="3:8" ht="12.75">
      <c r="C66" s="90" t="s">
        <v>495</v>
      </c>
      <c r="D66" s="89"/>
      <c r="E66" s="91"/>
      <c r="F66" s="91"/>
      <c r="G66" s="91"/>
      <c r="H66" s="91"/>
    </row>
    <row r="67" ht="12.75">
      <c r="H67" s="92"/>
    </row>
    <row r="68" spans="5:8" ht="12.75">
      <c r="E68" s="92"/>
      <c r="F68" s="92"/>
      <c r="G68" s="92"/>
      <c r="H68" s="92"/>
    </row>
    <row r="69" spans="4:8" ht="12.75">
      <c r="D69" s="1"/>
      <c r="E69" s="11"/>
      <c r="F69" s="11"/>
      <c r="G69" s="11"/>
      <c r="H69" s="11"/>
    </row>
    <row r="70" spans="3:8" ht="12.75">
      <c r="C70" s="1"/>
      <c r="D70" s="1"/>
      <c r="E70" s="1"/>
      <c r="F70" s="1"/>
      <c r="G70" s="1"/>
      <c r="H70" s="1"/>
    </row>
    <row r="71" spans="4:8" ht="12.75">
      <c r="D71" s="1"/>
      <c r="E71" s="1"/>
      <c r="F71" s="1"/>
      <c r="G71" s="1"/>
      <c r="H71" s="1"/>
    </row>
    <row r="72" spans="4:8" ht="12.75">
      <c r="D72" s="1"/>
      <c r="E72" s="1"/>
      <c r="F72" s="1"/>
      <c r="G72" s="1"/>
      <c r="H72" s="1"/>
    </row>
    <row r="73" spans="4:8" ht="12.75">
      <c r="D73" s="1"/>
      <c r="E73" s="1"/>
      <c r="F73" s="1"/>
      <c r="G73" s="1"/>
      <c r="H73" s="1"/>
    </row>
    <row r="74" spans="4:8" ht="12.75">
      <c r="D74" s="1"/>
      <c r="E74" s="1"/>
      <c r="F74" s="1"/>
      <c r="G74" s="1"/>
      <c r="H74" s="1"/>
    </row>
    <row r="75" spans="4:8" ht="12.75">
      <c r="D75" s="1"/>
      <c r="E75" s="1"/>
      <c r="F75" s="1"/>
      <c r="G75" s="1"/>
      <c r="H75" s="1"/>
    </row>
    <row r="76" spans="4:8" ht="12.75">
      <c r="D76" s="1"/>
      <c r="E76" s="1"/>
      <c r="F76" s="1"/>
      <c r="G76" s="1"/>
      <c r="H76" s="1"/>
    </row>
    <row r="77" spans="4:8" ht="12.75">
      <c r="D77" s="1"/>
      <c r="E77" s="1"/>
      <c r="F77" s="1"/>
      <c r="G77" s="1"/>
      <c r="H77" s="1"/>
    </row>
  </sheetData>
  <sheetProtection/>
  <mergeCells count="12">
    <mergeCell ref="A7:A9"/>
    <mergeCell ref="B7:B9"/>
    <mergeCell ref="C7:C9"/>
    <mergeCell ref="D7:D9"/>
    <mergeCell ref="E7:E9"/>
    <mergeCell ref="F8:G8"/>
    <mergeCell ref="H8:H9"/>
    <mergeCell ref="C1:H1"/>
    <mergeCell ref="C2:H2"/>
    <mergeCell ref="E3:H3"/>
    <mergeCell ref="B5:H5"/>
    <mergeCell ref="F7:G7"/>
  </mergeCells>
  <printOptions/>
  <pageMargins left="0.5118110236220472" right="0.11811023622047245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2006-11-28T10:25:48Z</dcterms:created>
  <dcterms:modified xsi:type="dcterms:W3CDTF">2011-09-21T13:25:07Z</dcterms:modified>
  <cp:category/>
  <cp:version/>
  <cp:contentType/>
  <cp:contentStatus/>
</cp:coreProperties>
</file>