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97" activeTab="0"/>
  </bookViews>
  <sheets>
    <sheet name="3 pr" sheetId="1" r:id="rId1"/>
  </sheets>
  <definedNames>
    <definedName name="_xlnm.Print_Area" localSheetId="0">'3 pr'!$A$1:$H$306</definedName>
    <definedName name="_xlnm.Print_Titles" localSheetId="0">'3 pr'!$11:$11</definedName>
  </definedNames>
  <calcPr fullCalcOnLoad="1"/>
</workbook>
</file>

<file path=xl/sharedStrings.xml><?xml version="1.0" encoding="utf-8"?>
<sst xmlns="http://schemas.openxmlformats.org/spreadsheetml/2006/main" count="716" uniqueCount="465">
  <si>
    <t>Kėdainių bendruomenės socialinis centras</t>
  </si>
  <si>
    <t>Dotnuvos slaugos namai</t>
  </si>
  <si>
    <t xml:space="preserve">Kėdainių rajono savivaldybės administracija </t>
  </si>
  <si>
    <t>Kėdainių rajono savivaldybės administracijos Dotnuvos seniūnija</t>
  </si>
  <si>
    <t>Kėdainių rajono savivaldybės administracijos Gudžiūnų seniūnija</t>
  </si>
  <si>
    <t>Kėdainių rajono savivaldybės administracijos Krakių seniūnija</t>
  </si>
  <si>
    <t>Kėdainių rajono savivaldybės administracijos Josvainių seniūnija</t>
  </si>
  <si>
    <t>Kėdainių rajono savivaldybės administracijos Kėdainių miesto seniūnija</t>
  </si>
  <si>
    <t>Kėdainių rajono savivaldybės administracijos Pelėdnagių seniūnija</t>
  </si>
  <si>
    <t>Kėdainių rajono savivaldybės administracijos Pernaravos seniūnija</t>
  </si>
  <si>
    <t>Kėdainių rajono savivaldybės administracijos Šėtos seniūnija</t>
  </si>
  <si>
    <t>Kėdainių rajono savivaldybės administracijos Surviliškio seniūnija</t>
  </si>
  <si>
    <t>Kėdainių rajono savivaldybės administracijos Truskavos seniūnija</t>
  </si>
  <si>
    <t>Kėdainių rajono savivaldybės administracijos Vilainių seniūnija</t>
  </si>
  <si>
    <t>Josvainių socialinis ir ugdymo centras</t>
  </si>
  <si>
    <t>Asignavimų valdytojas</t>
  </si>
  <si>
    <t>Iš viso</t>
  </si>
  <si>
    <t>Iš jų:</t>
  </si>
  <si>
    <t>Išlaidoms</t>
  </si>
  <si>
    <t>2</t>
  </si>
  <si>
    <t>Šėtos socialinis ir ugdymo  centras</t>
  </si>
  <si>
    <t>Iš viso asignavimų</t>
  </si>
  <si>
    <t>03</t>
  </si>
  <si>
    <t>SOCIALINĖS APSAUGOS PLĖTOJIMAS</t>
  </si>
  <si>
    <t>10.04.01.01</t>
  </si>
  <si>
    <t>10.01.02.02</t>
  </si>
  <si>
    <t>11</t>
  </si>
  <si>
    <t>SAVIVALDYBĖS VALDYMO TOBULINIMAS</t>
  </si>
  <si>
    <t>Kėdainių rajono savivaldybės priešgaisrinė tarnyba</t>
  </si>
  <si>
    <t>03.02.01.01</t>
  </si>
  <si>
    <t>09</t>
  </si>
  <si>
    <t xml:space="preserve"> ŽEMĖS ŪKIO PLĖTRA IR MELIORACIJA</t>
  </si>
  <si>
    <t>01.06.01.02</t>
  </si>
  <si>
    <t>04.01.02.01</t>
  </si>
  <si>
    <t>Kėdainių r. Krakių Mikalojaus Katkaus gimnazija</t>
  </si>
  <si>
    <t>Kėdainių r. Dotnuvos pagrindinė mokykla</t>
  </si>
  <si>
    <t>Kėdainių r. Surviliškio Vinco Svirskio pagrindinė mokykla</t>
  </si>
  <si>
    <t>Kėdainių krašto muziejus</t>
  </si>
  <si>
    <t>Kėdainių kultūros centras</t>
  </si>
  <si>
    <t>Krakių kultūros centras</t>
  </si>
  <si>
    <t>Kėdainių šviesioji gimnazija</t>
  </si>
  <si>
    <t>Kėdainių kalbų mokykla</t>
  </si>
  <si>
    <t>Kėdainių muzikos  mokykla</t>
  </si>
  <si>
    <t>Kėdainių specialioji mokykla</t>
  </si>
  <si>
    <t>Akademijos kultūros centras</t>
  </si>
  <si>
    <t>Josvainių kultūros centras</t>
  </si>
  <si>
    <t>Šėtos kultūros centras</t>
  </si>
  <si>
    <t>Truskavos kultūros centras</t>
  </si>
  <si>
    <t>Kėdainių rajono savivaldybės Mikalojaus Daukšos viešoji biblioteka</t>
  </si>
  <si>
    <t>Kėdainių dailės mokykla</t>
  </si>
  <si>
    <t>Programos kodas</t>
  </si>
  <si>
    <t>Funkcijos kodas</t>
  </si>
  <si>
    <t>Turtui įsigyti</t>
  </si>
  <si>
    <t>Iš jų darbo užmokesčiui</t>
  </si>
  <si>
    <t>01</t>
  </si>
  <si>
    <t>ŠVIETIMAS IR UGDYMAS</t>
  </si>
  <si>
    <t>09.01.01.01</t>
  </si>
  <si>
    <t>09.01.02.01</t>
  </si>
  <si>
    <t>09.02.02.01</t>
  </si>
  <si>
    <t>09.02.01.01</t>
  </si>
  <si>
    <t>09.05.01.01</t>
  </si>
  <si>
    <t xml:space="preserve">Kėdainių rajono savivaldybės administracija iš viso </t>
  </si>
  <si>
    <t>09.08.01.01</t>
  </si>
  <si>
    <t>09.06.01.01</t>
  </si>
  <si>
    <t>02</t>
  </si>
  <si>
    <t>SVEIKATOS APSAUGA</t>
  </si>
  <si>
    <t>07.01.03.01</t>
  </si>
  <si>
    <t>07.02.03.01</t>
  </si>
  <si>
    <t>07.03.01.01</t>
  </si>
  <si>
    <t>07.06.01.02</t>
  </si>
  <si>
    <t>10.01.02.02
10.07.01.01
10.09.01.01</t>
  </si>
  <si>
    <t>10.02.01.02</t>
  </si>
  <si>
    <t>10.07.01.01</t>
  </si>
  <si>
    <t>10.06.01.01</t>
  </si>
  <si>
    <t>09.06.01.01
10.01.02.40
10.02.01.40</t>
  </si>
  <si>
    <t>10.01.02.40</t>
  </si>
  <si>
    <t>04</t>
  </si>
  <si>
    <t>08.01.01.03</t>
  </si>
  <si>
    <t>05</t>
  </si>
  <si>
    <t>KULTŪROS VEIKLOS PLĖTRA</t>
  </si>
  <si>
    <t>08.02.01.08</t>
  </si>
  <si>
    <t>08.02.01.01</t>
  </si>
  <si>
    <t>08.02.01.02</t>
  </si>
  <si>
    <t>08.04.01.01</t>
  </si>
  <si>
    <t>07</t>
  </si>
  <si>
    <t>INFRASTRUKTŪROS OBJEKTŲ  PRIEŽIŪRA IR PLĖTRA</t>
  </si>
  <si>
    <t>06.04.01.01</t>
  </si>
  <si>
    <t>04.05.01.02 06.04.01.01</t>
  </si>
  <si>
    <t>06.01.01.01</t>
  </si>
  <si>
    <t>08</t>
  </si>
  <si>
    <t>APLINKOS APSAUGA</t>
  </si>
  <si>
    <t xml:space="preserve">05.01.01.01
06.02.01.01                       </t>
  </si>
  <si>
    <t>05.01.01.01</t>
  </si>
  <si>
    <t xml:space="preserve">05.01.01.01  05.02.01.01
06.03.01.01                       </t>
  </si>
  <si>
    <t xml:space="preserve">05.01.01.01               </t>
  </si>
  <si>
    <t>10</t>
  </si>
  <si>
    <t>PARAMA VERSLUI IR VERSLO PLĖTRA</t>
  </si>
  <si>
    <t>04.01.01.01</t>
  </si>
  <si>
    <t>Kėdainių rajono savivaldybės kontrolės ir audito tarnyba</t>
  </si>
  <si>
    <t xml:space="preserve">Kėdainių rajono savivaldybės administracija  </t>
  </si>
  <si>
    <t>03.01.01.01</t>
  </si>
  <si>
    <t>04.05.01.01</t>
  </si>
  <si>
    <t>01.07.01.01</t>
  </si>
  <si>
    <t xml:space="preserve">10.02.01.02 </t>
  </si>
  <si>
    <t>06</t>
  </si>
  <si>
    <t>KULTŪROS PAVELDO IŠSAUGOJIMAS, TURIZMO SKATINIMAS IR VYSTYMAS</t>
  </si>
  <si>
    <t>04.07.03.01</t>
  </si>
  <si>
    <t>10.01.02.01</t>
  </si>
  <si>
    <t xml:space="preserve">                                                               ___________________________________________</t>
  </si>
  <si>
    <t>09.02.01.01
09.02.02.01 
09.05.01.01</t>
  </si>
  <si>
    <t>07.06.01.09</t>
  </si>
  <si>
    <t>01.01.01.09</t>
  </si>
  <si>
    <t>Kėdainių suaugusiųjų ir jaunimo mokymo centras</t>
  </si>
  <si>
    <t>Kėdainių sporto centras</t>
  </si>
  <si>
    <t xml:space="preserve">10.06.01.01 10.07.01.01
10.09.01.09 </t>
  </si>
  <si>
    <t>3 priedas</t>
  </si>
  <si>
    <t>08.02.01.07</t>
  </si>
  <si>
    <t>04.05.01.02</t>
  </si>
  <si>
    <t>Kėdainių rajono savivaldybės administracijos Šėtos   seniūnija</t>
  </si>
  <si>
    <t>Eil.   Nr.</t>
  </si>
  <si>
    <t>09.01.01.01
09.05.01.01</t>
  </si>
  <si>
    <t>09.02.02.01
09.05.01.01</t>
  </si>
  <si>
    <t>01.03.02.09
04.01.02.01</t>
  </si>
  <si>
    <t>Kėdainių Juozo Paukštelio progimnazija</t>
  </si>
  <si>
    <t>01.06.01.04</t>
  </si>
  <si>
    <t>Atnaujinti ikimokyklinio ugdymo įstaigų lauko inventorių</t>
  </si>
  <si>
    <t>Šalinti higienos normų reikalavimų trūkumus, sudarant saugias ugdymo sąlygas įstaigose, vykdančiose ugdymo programas</t>
  </si>
  <si>
    <t xml:space="preserve">Atlikti turto inventorizavimą, teisinę registraciją, parengti  dokumentus turto privatizavimui </t>
  </si>
  <si>
    <t>Remontuoti objektus pagal administracijos direktoriaus įsakymus</t>
  </si>
  <si>
    <t>Likviduoti avarinius židinius</t>
  </si>
  <si>
    <t>Remontuoti biudžetinių įstaigų kiemus</t>
  </si>
  <si>
    <t>Remontuoti viešųjų ir biudžetinių įstaigų stogus</t>
  </si>
  <si>
    <t>08.06.01.01</t>
  </si>
  <si>
    <t>Rengti specialiuosius, detaliuosius, geodezinius planus bei  topografines nuotraukas</t>
  </si>
  <si>
    <t>07.06.01.06</t>
  </si>
  <si>
    <t>04.09.01.01</t>
  </si>
  <si>
    <t>(tūkst. Eur)</t>
  </si>
  <si>
    <t>01.01.01.02
01.01.01.09
01.03.02.09
01.06.01.02
04.05.06.09 06.06.01.01
06.06.01.09</t>
  </si>
  <si>
    <t>05.03.01.01</t>
  </si>
  <si>
    <t>08.06.01.09</t>
  </si>
  <si>
    <t>04.01.02.09</t>
  </si>
  <si>
    <t xml:space="preserve">Kėdainių švietimo pagalbos tarnyba </t>
  </si>
  <si>
    <t>Kėdainių r. Akademijos gimnazija</t>
  </si>
  <si>
    <t>Kėdainių r. Josvainių gimnazija</t>
  </si>
  <si>
    <t>Kėdainių r. Labūnavos pagrindinė mokykla</t>
  </si>
  <si>
    <t>Kėdainių r. Truskavos pagrindinė mokykla</t>
  </si>
  <si>
    <t>Kėdainių r. Šėtos  gimnazija</t>
  </si>
  <si>
    <t>10.06.01.01 10.07.01.01
10.09.01.09</t>
  </si>
  <si>
    <t xml:space="preserve">09.08.01.09    </t>
  </si>
  <si>
    <t>Remontuoti Kėdainių Juozo Paukštelio progimnazijos vidaus patalpas</t>
  </si>
  <si>
    <t>Kompleksiškai sutvarkyti Kėdainių miesto maudymvietes ir poilsio zonas</t>
  </si>
  <si>
    <t xml:space="preserve">Rengti infrastruktūros objektų tvarkymo investicinius projektus, paraiškas, kitą techninę dokumentaciją  Europos Sąjungos fondų paramai gauti </t>
  </si>
  <si>
    <t>Rekonstruoti ir plėsti Kėdainių miesto paviršinių nuotekų tinklus</t>
  </si>
  <si>
    <t>Asfaltuoti daugiabučių gyvenamųjų namų kiemus</t>
  </si>
  <si>
    <t xml:space="preserve">Dalyvauti energinio efektyvumo didinimo daugiabučiuose namuose programoje, kompensuojant Savivaldybei priklausančių būstų renovacijos išlaidas </t>
  </si>
  <si>
    <t>Įgyvendinti Kėdainių rajono savivaldybės bažnyčių rėmimo programą</t>
  </si>
  <si>
    <t>10.01.02.02
10.06.01.01
10.09.01.01 
10.09.01.09</t>
  </si>
  <si>
    <t>08.02.01.06
08.06.01.09</t>
  </si>
  <si>
    <t>08.04.01.02</t>
  </si>
  <si>
    <t>05.06.01.01</t>
  </si>
  <si>
    <t>05.02.01.01.</t>
  </si>
  <si>
    <t>Organizuoti nemokamą socialiai remtinų vaikų maitinimą ikimokyklinėse įstaigose</t>
  </si>
  <si>
    <t xml:space="preserve">Kompensuoti nemokamo mokinių maitinimo kainą bendrojo lavinimo mokyklose </t>
  </si>
  <si>
    <t xml:space="preserve">Dengti kainų skirtumą gyventojams už šildymą </t>
  </si>
  <si>
    <t xml:space="preserve">Kompensuoti kelionės išlaidas už lengvatinį keleivių vežimą </t>
  </si>
  <si>
    <t>Organizuoti socialinės reabilitacijos paslaugų neįgaliesiems bendruomenėje projektų konkursus</t>
  </si>
  <si>
    <t>Vykdyti savivaldybės viešųjų teritorijų tvarkymą</t>
  </si>
  <si>
    <t>Įgyvendinti priemones, finansuojamas iš Savivaldybės administracijos direktoriaus rezervo</t>
  </si>
  <si>
    <t>Įgyvendinti priemones, finansuojamas iš Savivaldybės mero fondo</t>
  </si>
  <si>
    <t xml:space="preserve">Sudaryti sąlygas bendruomeninių organizacijų veiklai </t>
  </si>
  <si>
    <t>Kėdainių r. Miegėnų pagrindinė mokykla</t>
  </si>
  <si>
    <t>Kėdainių pagalbos šeimai centras</t>
  </si>
  <si>
    <t>09.05.01.01  09.05.01.02 09.05.01.03</t>
  </si>
  <si>
    <t>Atnaujinti Josvainių socialinio ir ugdymo centrą bei įkurti savarankiško gyvenimo namus jame</t>
  </si>
  <si>
    <t>Atnaujinti Lietuvos sporto universiteto Kėdainių  „Aušros“ progimnaziją, kuriant modernias ir saugias erdves</t>
  </si>
  <si>
    <t>Rekonstruoti/įrengti/modernizuoti Kėdainių rajono gatvių apšvietimą</t>
  </si>
  <si>
    <t>Atnaujinti Dotnuvos seniūnijos Akademijos miestelio visuomeninės paskirties pastatą, pritaikant jį kaimo bendruomenės poreikiams</t>
  </si>
  <si>
    <t xml:space="preserve">Užtikrinti socialinio būsto fondo plėtrą Kėdainiuose </t>
  </si>
  <si>
    <t>Atnaujinti Krakių miestelio kultūros centrą, pritaikant jį kaimo bendruomenės poreikiams</t>
  </si>
  <si>
    <t>Atnaujinti Kėdainių rajono Krakių  seniūnijos Ažytėnų kaimo visuomenės paskirties pastatą, pritaikant jį kaimo bendruomenės poreikiams bei kultūrinei veiklai</t>
  </si>
  <si>
    <t xml:space="preserve">Įrengti pėsčiųjų ir dviračių takus Pramonės g. Kėdainių mieste  </t>
  </si>
  <si>
    <t>Kompleksiškai atnaujinti daugiabučių namų kvartalus (I etapas)</t>
  </si>
  <si>
    <t>Kompleksiškai atnaujinti daugiabučių namų kvartalus (II etapas)</t>
  </si>
  <si>
    <t>Atnaujinti ir plėsti komunalinių atliekų tvarkymo infrastruktūrą Kėdainių rajono savivaldybėje</t>
  </si>
  <si>
    <t>Sutvarkyti atvirais kasiniais pažeistas žemes Kėdainių rajone</t>
  </si>
  <si>
    <t>Remontuoti savivaldybės ir socialinį būstą</t>
  </si>
  <si>
    <t xml:space="preserve">08.02.01.07
</t>
  </si>
  <si>
    <t>06.03.01.01</t>
  </si>
  <si>
    <t>Atnaujinti/išplėsti apšvietimo inžinerinius tinklus Kėdainių rajono savivaldybės administracijos seniūnijose</t>
  </si>
  <si>
    <t>iš jų: užimtumo didinimo programai įgyvendinti</t>
  </si>
  <si>
    <t>04.07.03.01 08.03.01.07</t>
  </si>
  <si>
    <t>04.07.05.01</t>
  </si>
  <si>
    <t>04-08</t>
  </si>
  <si>
    <t>Vykdyti aplinkos apsaugos rėmimo specialiąją programą (pridedama 12 priedas)</t>
  </si>
  <si>
    <t>Rekonstruoti ir plėsti vandentiekio ir buitinių nuotekų infrastruktūrą Šėtos miestelyje, Kunionių kaime bei Kėdainių mieste</t>
  </si>
  <si>
    <t>09.</t>
  </si>
  <si>
    <t>01-10</t>
  </si>
  <si>
    <t>Remontuoti Kėdainių specialiąją mokyklą</t>
  </si>
  <si>
    <t>Kompleksiškai sutvarkyti ir pritaikyti bendruomenei ir verslui Kėdainių miesto viešąsias erdves (Kėdainių miesto, Vytauto parko, universalaus daugiafunkcio aikštyno, lauko teniso kortų prieigas)</t>
  </si>
  <si>
    <t>Kėdainių lopšelis-darželis „Pasaka“</t>
  </si>
  <si>
    <t>Kėdainių lopšelis-darželis „Puriena“</t>
  </si>
  <si>
    <t>Kėdainių lopšelis-darželis „Varpelis“</t>
  </si>
  <si>
    <t>Kėdainių lopšelis-darželis „Vyturėlis“</t>
  </si>
  <si>
    <t>Kėdainių lopšelis-darželis „Žilvitis“</t>
  </si>
  <si>
    <t>Kėdainių lopšelis-darželis „Vaikystė“</t>
  </si>
  <si>
    <t>Lietuvos sporto universiteto Kėdainių „Aušros“ progimnazija</t>
  </si>
  <si>
    <t>Kėdainių „Ryto“ progimnazija</t>
  </si>
  <si>
    <t>Kėdainių „Atžalyno“ gimnazija</t>
  </si>
  <si>
    <t>Kėdainių lopšelis-darželis „Aviliukas“</t>
  </si>
  <si>
    <t xml:space="preserve">Užtikrinti paslaugų teikimą VšĮ „Gyvenimo namai  sutrikusio intelekto asmenims“   </t>
  </si>
  <si>
    <t>Įgyvendinti projektą „Jonavos, Kėdainių ir Raseinių rajonų savivaldybes jungiančių trasų ir turizmo maršrutų informacinės infrastruktūros plėtra“</t>
  </si>
  <si>
    <t>Įgyvendinti projektą „Kėdainių miesto A. Kanapinsko, P. Lukšio, Mindaugo, Pavasario ir Žemaitės gatvių rekonstrukcija“</t>
  </si>
  <si>
    <t xml:space="preserve">Kompensuoti UAB "Kėdbusas“ nuostolingus maršrutus </t>
  </si>
  <si>
    <t>Kompleksiškai sutvarkyti Pelėdnagių kaimo viešąsias erdves</t>
  </si>
  <si>
    <t>Kompleksiškai sutvarkyti Vilainių kaimo viešąsias erdves</t>
  </si>
  <si>
    <t>Tobulinti Kėdainių sporto centro infrastruktūrą (Parko g. 4, Vilainiai)</t>
  </si>
  <si>
    <t>33.1</t>
  </si>
  <si>
    <t>33.2</t>
  </si>
  <si>
    <t>33.3</t>
  </si>
  <si>
    <t>33.4</t>
  </si>
  <si>
    <t>36.1</t>
  </si>
  <si>
    <t>36.3</t>
  </si>
  <si>
    <t>36.4</t>
  </si>
  <si>
    <t>36.5</t>
  </si>
  <si>
    <t>36.6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</si>
  <si>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</si>
  <si>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</si>
  <si>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</si>
  <si>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</si>
  <si>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</si>
  <si>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</si>
  <si>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</si>
  <si>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</si>
  <si>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</si>
  <si>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</si>
  <si>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</si>
  <si>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</si>
  <si>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</si>
  <si>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</si>
  <si>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</si>
  <si>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</si>
  <si>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</si>
  <si>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</si>
  <si>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56.1</t>
  </si>
  <si>
    <t>56.2</t>
  </si>
  <si>
    <t>56.3</t>
  </si>
  <si>
    <t>56.4</t>
  </si>
  <si>
    <t>56.5</t>
  </si>
  <si>
    <t>76.1</t>
  </si>
  <si>
    <t>76.2</t>
  </si>
  <si>
    <t>76.3</t>
  </si>
  <si>
    <t>76.4</t>
  </si>
  <si>
    <t>Finansuoti inžinierines paslaugas, darbus ir įrengimus</t>
  </si>
  <si>
    <t xml:space="preserve">Kėdainių rajono savivaldybės administracija iš viso: </t>
  </si>
  <si>
    <t>Finansuoti vaikų vasaros poilsio ir užimtumo programas, įskaitant dienos stovyklų organizavimą</t>
  </si>
  <si>
    <t>Skatinti  savivaldybės gabius mokinius</t>
  </si>
  <si>
    <t>Atnaujinti maitinimo įrangą ir inventorių ikimokyklinio ugdymo įstaigose</t>
  </si>
  <si>
    <t>Kėdainių rajono savivaldybės visuomenės sveikatos biuras iš viso:</t>
  </si>
  <si>
    <t xml:space="preserve">07.04.01.02 </t>
  </si>
  <si>
    <t>Vykdyti  E sveikatos informacinės sistemos diegimo, palaikymo ir tobulinimo VšĮ Kėdainių PSPC ir VšĮ Kėdainių ligoninėje 2016-2021 m. programą</t>
  </si>
  <si>
    <t>Vykdyti VšĮ Kėdainių ligoninės dantų protezavimo programą</t>
  </si>
  <si>
    <t>Vykdyti VšĮ Kėdainių ligoninės vaikų slaugos programą</t>
  </si>
  <si>
    <t>Vykdyti odontologinės priežiūros/pagalbos kokybės gerinimo Kėdainių rajono savivaldybės gyventojams 2011-2021 m. programą</t>
  </si>
  <si>
    <t>Vykdyti traumatologinės  pagalbos kokybės gerinimo Kėdainių rajono savivaldybės gyventojams 2016-2021 m. programą</t>
  </si>
  <si>
    <t>Vykdyti pirminės asmens sveikatos priežiūros paslaugų prieinamumo ir kokybės užtikrinimo Kėdainių rajono kaimiškųjų vietovių gyventojams 2017-2020 m. programą</t>
  </si>
  <si>
    <t xml:space="preserve">Vykdyti priėmimo-skubiosios pagalbos  skyriuje teikiamos pagalbos kokybės gerinimo Kėdainių rajono savivaldybės gyventojams 2019-2020 m. programą </t>
  </si>
  <si>
    <t xml:space="preserve">Vykdyti ambulatorinės akušerinės ir ginekologinės pagalbos kokybės gerinimo Kėdainių rajono savivaldybės moterims 2019-2024 m. programą </t>
  </si>
  <si>
    <t xml:space="preserve">Didinti pirminės asmens sveikatos priežiūros veiklos efektyvumą VšĮ Kėdainių pirminės sveikatos priežiūros centre </t>
  </si>
  <si>
    <t>Aktualizuoti Kėdainių krašto muziejų, padidinant kultūros paveldo aktualumą, lankomumą ir žinomumą (įskaitant ekspozicijų atnaujinimą)</t>
  </si>
  <si>
    <t>Modernizuoti Kėdainių krašto muziejaus Daugiakultūrio centrą</t>
  </si>
  <si>
    <t>Įrengti  valstybinės reikšmės kelių nuorodas į savivaldybės kultūros paveldo objektus, informacinį stendą Lietuvos partizanų vadavietėje (Truskavos sen.) bei tipines informacines lenteles prie Antrojo pasaulinio karo Sovietų Sąjungos karių palaidojimo vietų</t>
  </si>
  <si>
    <t xml:space="preserve">Atlikti archeologinius tyrinėjimus kultūros paveldo teritorijose </t>
  </si>
  <si>
    <t>Kėdainių rajono savivaldybės administracija iš viso :</t>
  </si>
  <si>
    <t>Atnaujinti Kėdainių rajono teritorijos bendrąjį planą</t>
  </si>
  <si>
    <t>Atnaujinti Kėdainių miesto teritorijos bendrąjį planą</t>
  </si>
  <si>
    <t>Parengti vandentiekio ir nuotekų tinklų išplėtimo Angirių k. techninę dokumentaciją ir atlikti darbus</t>
  </si>
  <si>
    <t xml:space="preserve">Rekonstruoti/įrengti/modernizuoti Kėdainių miesto gatvių apšvietimą </t>
  </si>
  <si>
    <t>56.5.2</t>
  </si>
  <si>
    <t>76.5</t>
  </si>
  <si>
    <t>Naujai nutiesti gatvės dalį Kėdainių mieste (T. Bružaitės g.)</t>
  </si>
  <si>
    <t>Modernizuoti Kėdainių lopšelio-darželio „Vaikystė“ infrastruktūrą</t>
  </si>
  <si>
    <t>Modernizuoti Kėdainių lopšelio-darželio „Žilvitis“ infrastruktūrą</t>
  </si>
  <si>
    <t xml:space="preserve">Finansuoti žvyro įsigijimą seniūnijų keliams prižiūrėti </t>
  </si>
  <si>
    <t xml:space="preserve">Finansuoti prevencinę programą „Saugios aplinkos kūrimas ir bendruomenės teisėtvarkos kūrimas" </t>
  </si>
  <si>
    <t>07.02.01.01</t>
  </si>
  <si>
    <t>10.06.01.40 06.01.01.01</t>
  </si>
  <si>
    <t>Kėdainių krašto muziejus iš viso:</t>
  </si>
  <si>
    <t>36.2</t>
  </si>
  <si>
    <t>114.1</t>
  </si>
  <si>
    <t>114.2</t>
  </si>
  <si>
    <t>iš jų: įgyvendinti projektą "Sveikos gyvensenos skatinimas Kėdainių rajone"</t>
  </si>
  <si>
    <t>Gerinti pirminės asmens sveikatos priežiūros paslaugų teikimo prieinamumą tuberkuliozės srityje</t>
  </si>
  <si>
    <t xml:space="preserve">iš jų: teikti integralią pagalbą į namus Kėdainių rajone </t>
  </si>
  <si>
    <t xml:space="preserve">Finansuoti Kėdainių rajono vietos veiklos grupės teritorijos vietos plėtros 2015-2023 m. strategijos įgyvendinimą  </t>
  </si>
  <si>
    <t>iš jų: dalyvauti projekte "Kunigaikščių Radvilų paveldo Kėdainiuose ir Nesvyžiuje išsaugojimas bei pritaikymas turizmo reikmėms"</t>
  </si>
  <si>
    <t>Dalyvauti nekilnojamojo kultūros paveldo pažinimo sklaidos ir atgaivinimo programoje</t>
  </si>
  <si>
    <t xml:space="preserve">Gerinti Kėdainių rajono savivaldybėje teikiamų paslaugų ir asmenų aptarnavimo kokybę  </t>
  </si>
  <si>
    <t>Finansuoti dienos socialinės globos paslaugų teikimo Kėdainių socialinės globos namuose programą</t>
  </si>
  <si>
    <t>iš jų: valstybės biudžeto lėšos, skirtos mokytojams, dirbantiems pagal neformaliojo vaikų švietimo (išskyrus ikimokyklinio ir priešmokyklinio ugdymo) programas</t>
  </si>
  <si>
    <t>Kompensuoti karšto ir šalto vandens pardavimo kainą socialiai remtiniems asmenims</t>
  </si>
  <si>
    <t>Finansuoti VšĮ Kėdainių turizmo ir verslo informacijos centro turizmo veiklos programą</t>
  </si>
  <si>
    <t xml:space="preserve">Įgyvendinti priemones, skirtas kovų už Lietuvos Nepriklausomybę vietoms ir paminklams įamžinti </t>
  </si>
  <si>
    <t>Kompleksiškai sutvarkyti Kėdainių Sinagogą (Smilgos g. 5A, Kėdainiai), pritaikant kultūrinėms bei kitoms reikmėms</t>
  </si>
  <si>
    <t>Atlikti paveldo objektams parengtų tvarkybos projektų ekspertizę, parengti sąmatas</t>
  </si>
  <si>
    <t xml:space="preserve">Rekonstruoti šaligatvius, įgyvendinant projektą „Kėdainių miesto J.Basanavičiaus, Birutės, Dotnuvos, Kauno,  ir Šėtos gatvių rekonstrukcija“ </t>
  </si>
  <si>
    <t>Apmokėti Europos Sąjungos projektų, kuriems taikomas apmokėjimas  kompensavimo būdu,  išlaidas</t>
  </si>
  <si>
    <t>Finansuoti Kėdainių miesto vietos veiklos grupės 2016–2022 m. vietos plėtros strategijos įgyvendinimą</t>
  </si>
  <si>
    <t xml:space="preserve">Parengti projektus ir remontuoti koplytėles ir koplystulpius (Labūnavos, Pagirių, Pilionių, Šėtos, Aukupėnų: koplyststulpiai: Šlapaberžės, Pašėtės, Gumbių) </t>
  </si>
  <si>
    <t>10.06.01.40</t>
  </si>
  <si>
    <t xml:space="preserve">Vykdyti Kėdainių rajono tuberkuliozės prevencijos, ankstyvosios diagnostikos, gydymo ir kontrolės                          2017-2022 m. programą </t>
  </si>
  <si>
    <t>Vykdyti ultragarsinių diagnostinių paslaugų teikimo efektyvumo gerinimo Kėdainių rajono savivaldybėje                          2017-2022 m. programą</t>
  </si>
  <si>
    <t>PATIKSLINTA 2019 m. lapkričio 29 sprendimo Nr. TS-</t>
  </si>
  <si>
    <t>sodra 7,3</t>
  </si>
  <si>
    <t>papildomai 61,4</t>
  </si>
  <si>
    <t>iš jų įstaigos 61,1</t>
  </si>
  <si>
    <t>programos +0,1+0,2</t>
  </si>
  <si>
    <t>komunalinių atliekų surinkimas 200,0</t>
  </si>
  <si>
    <t>Kėdainių r. Vilainių mokykla-darželis „Obelėlė“</t>
  </si>
  <si>
    <t>Kėdainių rajono savivaldybės 2020 m. biudžeto asignavimai investicijų projektams ir remonto darbams finansuoti pagal objektus:</t>
  </si>
  <si>
    <t>Įgyvendinti  Kėdainių rajono savivaldybės mokytojų motyvacijos programą</t>
  </si>
  <si>
    <t>Organizuoti mokinių maitinimą, taikant pažangias maitinimo formas (švediško stalo principas)</t>
  </si>
  <si>
    <t>Koofinansuoti  švietimo įstaigų dalyvavimą infrastruktūros gerinimo/modernizavimo projektuose</t>
  </si>
  <si>
    <t>Įrengti patalpų vėdinimo (kondincionavimo) sistemas ikimokyklinio ugdymo įstaigose</t>
  </si>
  <si>
    <t xml:space="preserve">Vykdyti akušerinės pagalbos kokybės gerinimo Kėdainių rajono savivaldybės moterims 2020-2021 m. programą </t>
  </si>
  <si>
    <t>iš jų: vykdyti socialinės paramos 2020 m. programą</t>
  </si>
  <si>
    <t>Finansuoti vaikų dienos centrų veiklos programas</t>
  </si>
  <si>
    <t>Pritaikyti viešąją aplinką specialiųjų poreikių turintiems gyventojams</t>
  </si>
  <si>
    <t>Dalinai finansuoti šeimynų gyvenamojo būsto remonto darbus</t>
  </si>
  <si>
    <t>Finansuoti strateginių sporto šakų programas, iš jų:</t>
  </si>
  <si>
    <t>VŠĮ Krepšinio klubo „Nevėžis“ veiklos programai</t>
  </si>
  <si>
    <t>Finansuoti fizinio aktyvumo ir sporto veiklos projektus</t>
  </si>
  <si>
    <t>Finansuoti ir administruoti Neįgaliųjų socialinės integracijos per kūno kultūrą ir sportą projektus</t>
  </si>
  <si>
    <t>Atnaujinti Kėdainių  „Ryto“ progimnazijos stadioną ir sporto aikštyną</t>
  </si>
  <si>
    <t>Užtikrinti rajono nevyriausybinių organizacijų (įskaitant bendruomenines organizacijas) plėtrą, finansuojant projektus socialinio, pilietinio, kultūros paveldo pažinimo, etninės kultūros puoselėjimo, užimtumo bei verslumo srityse</t>
  </si>
  <si>
    <t>Diegti energetinį efektyvumą didinančias priemones  Krakių kultūros centre</t>
  </si>
  <si>
    <t>Atnaujinti Truskavos kultūros centrą, pritaikant jį kaimo bendruomenės poreikiams bei kultūrinei veiklai</t>
  </si>
  <si>
    <t>Įsigyti Kėdainių kultūros centro Labūnavos skyriaus pastatą</t>
  </si>
  <si>
    <t>Įrengti dviračių takus dešiniuoju Nevėžio upės krantu ties Tilto, Č. Milošo gatvėmis Kėdainių mieste</t>
  </si>
  <si>
    <t>Parengti Akademijos parko tvarkybos projektus ir atlikti darbus</t>
  </si>
  <si>
    <t>Parengti Kėdainių senamiesčio eismo schemą</t>
  </si>
  <si>
    <t>Įrengti, rekonstruoti, išplėsti vandentiekio ir/ar nuotekų tinklus Kėdainių mieste (Algirdo g., Parakinės g., Rūtų g.)</t>
  </si>
  <si>
    <t>Rekonstruoti Akademijos  nuotekų valyklą</t>
  </si>
  <si>
    <t>Parengti vandentiekio ir nuotekų tinklų įrengimo  Krakių miestelio Klaipėdos, Lauko ir Neries gatvėse techninę dokumentaciją ir atlikti darbus</t>
  </si>
  <si>
    <t>Rekonstruoti vandentiekio ir  nuotekų tinklus Biliūno g. Kėdainiuose</t>
  </si>
  <si>
    <t>Vykdyti atliekų tvarkymo sistemos organizavimo funkciją</t>
  </si>
  <si>
    <t>Likviduoti apleistus (bešeimininkius ar savivaldybei nuosavybės teise priklausančius) pastatus ir kitus aplinką žalojančius objektus</t>
  </si>
  <si>
    <t>Rengti projektus ir remontuoti gyvenviečių lietaus nuotekų-drenažų sistemas</t>
  </si>
  <si>
    <t>Finansuoti VšĮ Kėdainių turizmo ir verslo informacijos centro viešųjų paslaugų verslui  programą</t>
  </si>
  <si>
    <t>Grąžinti paskolas</t>
  </si>
  <si>
    <t>Mokėti palūkanas</t>
  </si>
  <si>
    <t xml:space="preserve">SPORTO VEIKLOS PLĖTRA </t>
  </si>
  <si>
    <t>33.5</t>
  </si>
  <si>
    <t>33.5.1</t>
  </si>
  <si>
    <t>33.5.2</t>
  </si>
  <si>
    <t>33.5.3</t>
  </si>
  <si>
    <t>33.5.4</t>
  </si>
  <si>
    <t>33.5.5</t>
  </si>
  <si>
    <t>33.5.6</t>
  </si>
  <si>
    <t>33.5.7</t>
  </si>
  <si>
    <t>33.5.8</t>
  </si>
  <si>
    <t>33.5.9</t>
  </si>
  <si>
    <t>33.5.10</t>
  </si>
  <si>
    <t>33.5.11</t>
  </si>
  <si>
    <t>36.7</t>
  </si>
  <si>
    <t>36.16</t>
  </si>
  <si>
    <t>36.16.1</t>
  </si>
  <si>
    <t>36.16.2</t>
  </si>
  <si>
    <t>43.11</t>
  </si>
  <si>
    <t>43.11.1</t>
  </si>
  <si>
    <t>43.11.2</t>
  </si>
  <si>
    <t>43.11.3</t>
  </si>
  <si>
    <t>43.11.4</t>
  </si>
  <si>
    <t>43.11.5</t>
  </si>
  <si>
    <t>56.5.1</t>
  </si>
  <si>
    <t>76.4.1</t>
  </si>
  <si>
    <t>76.4.2</t>
  </si>
  <si>
    <t>76.4.3</t>
  </si>
  <si>
    <t>76.4.4</t>
  </si>
  <si>
    <t>76.4.5</t>
  </si>
  <si>
    <t>76.4.6</t>
  </si>
  <si>
    <t>76.4.7</t>
  </si>
  <si>
    <t>76.4.8</t>
  </si>
  <si>
    <t>79.1</t>
  </si>
  <si>
    <t>79.2</t>
  </si>
  <si>
    <t>79.3</t>
  </si>
  <si>
    <t>79.4</t>
  </si>
  <si>
    <t>79.4.1</t>
  </si>
  <si>
    <t>79.4.2</t>
  </si>
  <si>
    <t>79.4.3</t>
  </si>
  <si>
    <t>79.4.4</t>
  </si>
  <si>
    <t>79.4.5</t>
  </si>
  <si>
    <t>79.4.6</t>
  </si>
  <si>
    <t>79.4.7</t>
  </si>
  <si>
    <t>79.4.8</t>
  </si>
  <si>
    <t>79.4.9</t>
  </si>
  <si>
    <t>79.4.10</t>
  </si>
  <si>
    <t>79.4.11</t>
  </si>
  <si>
    <t>79.4.12</t>
  </si>
  <si>
    <t>79.4.13</t>
  </si>
  <si>
    <t>81.1</t>
  </si>
  <si>
    <t>94.1</t>
  </si>
  <si>
    <t>94.2</t>
  </si>
  <si>
    <t>94.2.1</t>
  </si>
  <si>
    <t>94.2.2</t>
  </si>
  <si>
    <t>94.2.3</t>
  </si>
  <si>
    <t>94.2.4</t>
  </si>
  <si>
    <t>107.1</t>
  </si>
  <si>
    <t>107.1.1</t>
  </si>
  <si>
    <t>109.1</t>
  </si>
  <si>
    <t>109.2</t>
  </si>
  <si>
    <t>113.1</t>
  </si>
  <si>
    <t>113.2</t>
  </si>
  <si>
    <t>113.3</t>
  </si>
  <si>
    <t>113.4</t>
  </si>
  <si>
    <t>113.5</t>
  </si>
  <si>
    <t>113.6</t>
  </si>
  <si>
    <t>113.7</t>
  </si>
  <si>
    <t>05.02.01.01 
06.03.01.01</t>
  </si>
  <si>
    <t>05.02.01.01</t>
  </si>
  <si>
    <t>KĖDAINIŲ RAJONO SAVIVALDYBĖS 2020 METŲ BIUDŽETO ASIGNAVIMAI  SAVARANKIŠKOMS FUNKCIJOMS ATLIKTI</t>
  </si>
  <si>
    <t>VšĮ „Sporto perspektyvos" veiklos programai</t>
  </si>
  <si>
    <t>Kėdainių bokso federacijos veiklos programai</t>
  </si>
  <si>
    <t>VšĮ „Sporto perspektyvos" vaikų ir jaunimo futbolo plėtros veiklos programai</t>
  </si>
  <si>
    <t>Kėdainių sporto klubo "Ateitis" veikos programai</t>
  </si>
  <si>
    <t>iš jų: dalyvauti projekte "Lietuvos-Lenkijos istorija iš trijų miestų perspektyvos" pagal INTEREG V-A Lietuvos-Lenkijos programą (kompensavimo būdu)</t>
  </si>
  <si>
    <t>Dalyvauti Kauno regiono plėtros agentūros veikloje</t>
  </si>
  <si>
    <t>94.3</t>
  </si>
  <si>
    <t>94.4</t>
  </si>
  <si>
    <t>94.5</t>
  </si>
  <si>
    <t>Vykdyti endoskopinių paslaugų prieinamumo ir kokybės gerinimo Kėdainių rajono savivaldybėje 2020-2025 m. programą</t>
  </si>
  <si>
    <t>Išplėsti buitinių nuotekų tinklus Pavermenio kaime</t>
  </si>
  <si>
    <t>81.1.1</t>
  </si>
  <si>
    <t>81.1.2</t>
  </si>
  <si>
    <t>81.1.3</t>
  </si>
  <si>
    <t>81.1.4</t>
  </si>
  <si>
    <t>81.1.5</t>
  </si>
  <si>
    <t>81.1.6</t>
  </si>
  <si>
    <t>81.1.7</t>
  </si>
  <si>
    <t>81.1.8</t>
  </si>
  <si>
    <t>81.1.9</t>
  </si>
  <si>
    <t>81.1.10</t>
  </si>
  <si>
    <t>81.1.11</t>
  </si>
  <si>
    <t>81.1.12</t>
  </si>
  <si>
    <t>81.1.13</t>
  </si>
  <si>
    <t>81.1.14</t>
  </si>
  <si>
    <t>81.1.15</t>
  </si>
  <si>
    <t>81.1.16</t>
  </si>
  <si>
    <t>81.1.17</t>
  </si>
  <si>
    <t>81.1.18</t>
  </si>
  <si>
    <t>81.1.19</t>
  </si>
  <si>
    <t>81.1.20</t>
  </si>
  <si>
    <t>81.1.21</t>
  </si>
  <si>
    <t>81.1.22</t>
  </si>
  <si>
    <t>81.1.23</t>
  </si>
  <si>
    <t>81.1.24</t>
  </si>
  <si>
    <t>81.1.25</t>
  </si>
  <si>
    <t>81.1.26</t>
  </si>
  <si>
    <t>81.1.27</t>
  </si>
  <si>
    <t>81.1.28</t>
  </si>
  <si>
    <t>81.1.29</t>
  </si>
  <si>
    <t>81.1.30</t>
  </si>
  <si>
    <t>81.1.31</t>
  </si>
  <si>
    <t>81.1.32</t>
  </si>
  <si>
    <t xml:space="preserve">                                                                               Kėdainių rajono savivaldybės tarybos</t>
  </si>
  <si>
    <t xml:space="preserve">                                                                                        2020 m. balandžio 3 d. sprendimo Nr. TS-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</si>
</sst>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27]yyyy\ &quot;m.&quot;\ mmmm\ d\ &quot;d.&quot;"/>
    <numFmt numFmtId="188" formatCode="0.0;\-0.0;;"/>
    <numFmt numFmtId="189" formatCode="0.0_ ;\-0.0\ "/>
    <numFmt numFmtId="190" formatCode="0.000"/>
    <numFmt numFmtId="191" formatCode="#,##0.0_ ;\-#,##0.0\ "/>
    <numFmt numFmtId="192" formatCode="#,##0.00\ _L_t"/>
    <numFmt numFmtId="193" formatCode="#,##0.0\ _L_t"/>
    <numFmt numFmtId="194" formatCode="0;\-0;;"/>
    <numFmt numFmtId="195" formatCode="#,##0_ ;\-#,##0\ "/>
    <numFmt numFmtId="196" formatCode="0_ ;\-0\ "/>
    <numFmt numFmtId="197" formatCode="0.0;\-0.0;"/>
    <numFmt numFmtId="198" formatCode="_(* #,##0.0_);_(* \(#,##0.0\);_(* &quot;-&quot;??_);_(@_)"/>
    <numFmt numFmtId="199" formatCode="0.0%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18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Alignment="1">
      <alignment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/>
    </xf>
    <xf numFmtId="182" fontId="2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91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vertical="center" wrapText="1"/>
    </xf>
    <xf numFmtId="182" fontId="49" fillId="0" borderId="0" xfId="0" applyNumberFormat="1" applyFont="1" applyFill="1" applyAlignment="1">
      <alignment/>
    </xf>
    <xf numFmtId="183" fontId="2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191" fontId="1" fillId="0" borderId="0" xfId="0" applyNumberFormat="1" applyFont="1" applyFill="1" applyAlignment="1">
      <alignment horizontal="center" vertical="center"/>
    </xf>
    <xf numFmtId="191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3" fontId="2" fillId="0" borderId="10" xfId="65" applyNumberFormat="1" applyFont="1" applyFill="1" applyBorder="1" applyAlignment="1">
      <alignment horizontal="right" vertical="center"/>
      <protection/>
    </xf>
    <xf numFmtId="183" fontId="2" fillId="0" borderId="10" xfId="0" applyNumberFormat="1" applyFont="1" applyFill="1" applyBorder="1" applyAlignment="1">
      <alignment horizontal="right" vertical="center"/>
    </xf>
    <xf numFmtId="183" fontId="49" fillId="0" borderId="10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vertical="center" wrapText="1"/>
      <protection/>
    </xf>
    <xf numFmtId="183" fontId="1" fillId="0" borderId="10" xfId="65" applyNumberFormat="1" applyFill="1" applyBorder="1" applyAlignment="1">
      <alignment horizontal="right" vertical="center"/>
      <protection/>
    </xf>
    <xf numFmtId="182" fontId="1" fillId="0" borderId="10" xfId="65" applyNumberFormat="1" applyFill="1" applyBorder="1" applyAlignment="1">
      <alignment vertical="center" wrapText="1"/>
      <protection/>
    </xf>
    <xf numFmtId="182" fontId="1" fillId="0" borderId="10" xfId="65" applyNumberFormat="1" applyFill="1" applyBorder="1" applyAlignment="1">
      <alignment horizontal="left" vertical="center" wrapText="1"/>
      <protection/>
    </xf>
    <xf numFmtId="0" fontId="1" fillId="0" borderId="10" xfId="64" applyFill="1" applyBorder="1" applyAlignment="1">
      <alignment vertical="center" wrapText="1"/>
      <protection/>
    </xf>
    <xf numFmtId="182" fontId="1" fillId="0" borderId="10" xfId="65" applyNumberFormat="1" applyFill="1" applyBorder="1" applyAlignment="1">
      <alignment vertical="center"/>
      <protection/>
    </xf>
    <xf numFmtId="49" fontId="1" fillId="0" borderId="10" xfId="65" applyNumberFormat="1" applyFill="1" applyBorder="1" applyAlignment="1">
      <alignment horizontal="center" vertical="center"/>
      <protection/>
    </xf>
    <xf numFmtId="49" fontId="1" fillId="0" borderId="10" xfId="65" applyNumberFormat="1" applyFill="1" applyBorder="1" applyAlignment="1">
      <alignment horizontal="center" vertical="center" wrapText="1"/>
      <protection/>
    </xf>
    <xf numFmtId="49" fontId="1" fillId="0" borderId="11" xfId="64" applyNumberFormat="1" applyFill="1" applyBorder="1" applyAlignment="1">
      <alignment horizontal="center" vertical="center" wrapText="1"/>
      <protection/>
    </xf>
    <xf numFmtId="49" fontId="1" fillId="0" borderId="10" xfId="64" applyNumberForma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</cellXfs>
  <cellStyles count="6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4" xfId="44"/>
    <cellStyle name="Įprastas 5" xfId="45"/>
    <cellStyle name="Įspėjimo tekstas" xfId="46"/>
    <cellStyle name="Išvestis" xfId="47"/>
    <cellStyle name="Įvestis" xfId="48"/>
    <cellStyle name="Comma" xfId="49"/>
    <cellStyle name="Comma [0]" xfId="50"/>
    <cellStyle name="Kablelis 2" xfId="51"/>
    <cellStyle name="Kablelis 2 2" xfId="52"/>
    <cellStyle name="Kablelis 2 2 2" xfId="53"/>
    <cellStyle name="Kablelis 3" xfId="54"/>
    <cellStyle name="Kablelis 4" xfId="55"/>
    <cellStyle name="Kablelis 4 2" xfId="56"/>
    <cellStyle name="Kablelis 4 3" xfId="57"/>
    <cellStyle name="Kablelis 5" xfId="58"/>
    <cellStyle name="Kablelis 5 2" xfId="59"/>
    <cellStyle name="Neutralus" xfId="60"/>
    <cellStyle name="Normal 2" xfId="61"/>
    <cellStyle name="Normal 3" xfId="62"/>
    <cellStyle name="Normal_biudžetas 6" xfId="63"/>
    <cellStyle name="Normal_biudžetas 6_2009 m 02 men biudzetas." xfId="64"/>
    <cellStyle name="Normal_Sheet1_2009 m 02 men biudzetas." xfId="65"/>
    <cellStyle name="Paprastas 2" xfId="66"/>
    <cellStyle name="Paryškinimas 1" xfId="67"/>
    <cellStyle name="Paryškinimas 2" xfId="68"/>
    <cellStyle name="Paryškinimas 3" xfId="69"/>
    <cellStyle name="Paryškinimas 4" xfId="70"/>
    <cellStyle name="Paryškinimas 5" xfId="71"/>
    <cellStyle name="Paryškinimas 6" xfId="72"/>
    <cellStyle name="Pastaba" xfId="73"/>
    <cellStyle name="Pavadinimas" xfId="74"/>
    <cellStyle name="Percent" xfId="75"/>
    <cellStyle name="Skaičiavimas" xfId="76"/>
    <cellStyle name="Suma" xfId="77"/>
    <cellStyle name="Susietas langelis" xfId="78"/>
    <cellStyle name="Tikrinimo langelis" xfId="79"/>
    <cellStyle name="Currency" xfId="80"/>
    <cellStyle name="Currency [0]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6"/>
  <sheetViews>
    <sheetView tabSelected="1" zoomScalePageLayoutView="0" workbookViewId="0" topLeftCell="A1">
      <selection activeCell="W275" sqref="W275"/>
    </sheetView>
  </sheetViews>
  <sheetFormatPr defaultColWidth="9.140625" defaultRowHeight="12.75"/>
  <cols>
    <col min="1" max="1" width="5.8515625" style="5" customWidth="1"/>
    <col min="2" max="2" width="5.00390625" style="6" customWidth="1"/>
    <col min="3" max="3" width="44.28125" style="3" customWidth="1"/>
    <col min="4" max="4" width="10.421875" style="7" customWidth="1"/>
    <col min="5" max="5" width="9.421875" style="3" customWidth="1"/>
    <col min="6" max="6" width="9.00390625" style="3" customWidth="1"/>
    <col min="7" max="7" width="10.8515625" style="3" customWidth="1"/>
    <col min="8" max="8" width="8.28125" style="3" customWidth="1"/>
    <col min="9" max="13" width="0" style="2" hidden="1" customWidth="1"/>
    <col min="14" max="14" width="9.8515625" style="2" hidden="1" customWidth="1"/>
    <col min="15" max="20" width="0" style="2" hidden="1" customWidth="1"/>
    <col min="21" max="16384" width="9.140625" style="2" customWidth="1"/>
  </cols>
  <sheetData>
    <row r="1" spans="3:8" ht="15.75" customHeight="1">
      <c r="C1" s="76" t="s">
        <v>463</v>
      </c>
      <c r="D1" s="76"/>
      <c r="E1" s="76"/>
      <c r="F1" s="76"/>
      <c r="G1" s="76"/>
      <c r="H1" s="76"/>
    </row>
    <row r="2" spans="3:8" ht="15.75">
      <c r="C2" s="76" t="s">
        <v>464</v>
      </c>
      <c r="D2" s="76"/>
      <c r="E2" s="76"/>
      <c r="F2" s="76"/>
      <c r="G2" s="76"/>
      <c r="H2" s="76"/>
    </row>
    <row r="3" spans="3:8" ht="15.75" hidden="1">
      <c r="C3" s="75" t="s">
        <v>311</v>
      </c>
      <c r="D3" s="75"/>
      <c r="E3" s="75"/>
      <c r="F3" s="75"/>
      <c r="G3" s="75"/>
      <c r="H3" s="75"/>
    </row>
    <row r="4" spans="2:8" ht="14.25" customHeight="1">
      <c r="B4" s="7"/>
      <c r="E4" s="85" t="s">
        <v>115</v>
      </c>
      <c r="F4" s="85"/>
      <c r="G4" s="85"/>
      <c r="H4" s="85"/>
    </row>
    <row r="5" spans="2:8" ht="15.75">
      <c r="B5" s="7"/>
      <c r="E5" s="8"/>
      <c r="F5" s="8"/>
      <c r="G5" s="8"/>
      <c r="H5" s="8"/>
    </row>
    <row r="6" spans="1:8" ht="25.5" customHeight="1">
      <c r="A6" s="86" t="s">
        <v>419</v>
      </c>
      <c r="B6" s="86"/>
      <c r="C6" s="86"/>
      <c r="D6" s="86"/>
      <c r="E6" s="86"/>
      <c r="F6" s="86"/>
      <c r="G6" s="86"/>
      <c r="H6" s="86"/>
    </row>
    <row r="7" spans="2:8" ht="12.75">
      <c r="B7" s="7"/>
      <c r="E7" s="5"/>
      <c r="F7" s="5"/>
      <c r="G7" s="87" t="s">
        <v>136</v>
      </c>
      <c r="H7" s="87"/>
    </row>
    <row r="8" spans="1:8" ht="12.75" customHeight="1">
      <c r="A8" s="77" t="s">
        <v>119</v>
      </c>
      <c r="B8" s="89" t="s">
        <v>50</v>
      </c>
      <c r="C8" s="77" t="s">
        <v>15</v>
      </c>
      <c r="D8" s="78" t="s">
        <v>51</v>
      </c>
      <c r="E8" s="77" t="s">
        <v>16</v>
      </c>
      <c r="F8" s="79" t="s">
        <v>17</v>
      </c>
      <c r="G8" s="79"/>
      <c r="H8" s="79"/>
    </row>
    <row r="9" spans="1:8" ht="12.75" customHeight="1">
      <c r="A9" s="88"/>
      <c r="B9" s="89"/>
      <c r="C9" s="77"/>
      <c r="D9" s="78"/>
      <c r="E9" s="77"/>
      <c r="F9" s="79" t="s">
        <v>18</v>
      </c>
      <c r="G9" s="79"/>
      <c r="H9" s="77" t="s">
        <v>52</v>
      </c>
    </row>
    <row r="10" spans="1:13" ht="43.5" customHeight="1">
      <c r="A10" s="88"/>
      <c r="B10" s="89"/>
      <c r="C10" s="77"/>
      <c r="D10" s="78"/>
      <c r="E10" s="77"/>
      <c r="F10" s="9" t="s">
        <v>16</v>
      </c>
      <c r="G10" s="31" t="s">
        <v>53</v>
      </c>
      <c r="H10" s="77"/>
      <c r="M10" s="32"/>
    </row>
    <row r="11" spans="1:13" ht="12.75">
      <c r="A11" s="55">
        <v>1</v>
      </c>
      <c r="B11" s="11" t="s">
        <v>19</v>
      </c>
      <c r="C11" s="9">
        <v>3</v>
      </c>
      <c r="D11" s="10">
        <v>4</v>
      </c>
      <c r="E11" s="9">
        <v>5</v>
      </c>
      <c r="F11" s="9">
        <v>6</v>
      </c>
      <c r="G11" s="9">
        <v>7</v>
      </c>
      <c r="H11" s="9">
        <v>8</v>
      </c>
      <c r="M11" s="32"/>
    </row>
    <row r="12" spans="1:24" ht="19.5" customHeight="1">
      <c r="A12" s="12">
        <v>1</v>
      </c>
      <c r="B12" s="11" t="s">
        <v>54</v>
      </c>
      <c r="C12" s="13" t="s">
        <v>55</v>
      </c>
      <c r="D12" s="10"/>
      <c r="E12" s="27">
        <f>+F12+H12</f>
        <v>10263.9</v>
      </c>
      <c r="F12" s="27">
        <f>+F13+F14+F15+F16+F17+F18+F19+F20+F21+F22+F23+F24+F25+F26+F27+F28+F29+F30+F31+F32+F33+F34+F35+F36+F37+F39+F41+F43+F45+F46+F47+F48</f>
        <v>10175</v>
      </c>
      <c r="G12" s="27">
        <f>+G13+G14+G15+G16+G17+G18+G19+G20+G21+G22+G23+G24+G25+G26+G27+G28+G29+G30+G31+G32+G33+G34+G35+G36+G37+G39+G41+G43+G45+G46+G47+G48</f>
        <v>8128.500000000002</v>
      </c>
      <c r="H12" s="27">
        <f>+H13+H14+H15+H16+H17+H18+H19+H20+H21+H22+H23+H24+H25+H26+H27+H28+H29+H30+H31+H32+H33+H34+H35+H36+H37+H39+H41+H43+H45+H46+H47+H48</f>
        <v>88.9</v>
      </c>
      <c r="I12" s="4">
        <f>+J12+L12</f>
        <v>0</v>
      </c>
      <c r="J12" s="4"/>
      <c r="K12" s="4"/>
      <c r="L12" s="33"/>
      <c r="M12" s="33">
        <f>+N12+T12</f>
        <v>0</v>
      </c>
      <c r="N12" s="33"/>
      <c r="U12" s="4"/>
      <c r="V12" s="4"/>
      <c r="W12" s="4"/>
      <c r="X12" s="4"/>
    </row>
    <row r="13" spans="1:24" ht="24" customHeight="1">
      <c r="A13" s="12">
        <v>2</v>
      </c>
      <c r="B13" s="1"/>
      <c r="C13" s="34" t="s">
        <v>208</v>
      </c>
      <c r="D13" s="14" t="s">
        <v>120</v>
      </c>
      <c r="E13" s="64">
        <f>+F13+H13</f>
        <v>327.4</v>
      </c>
      <c r="F13" s="24">
        <v>327.4</v>
      </c>
      <c r="G13" s="24">
        <v>285.7</v>
      </c>
      <c r="H13" s="24"/>
      <c r="I13" s="4">
        <f aca="true" t="shared" si="0" ref="I13:I76">+J13+L13</f>
        <v>0</v>
      </c>
      <c r="J13" s="4"/>
      <c r="K13" s="4"/>
      <c r="L13" s="33"/>
      <c r="M13" s="33">
        <f aca="true" t="shared" si="1" ref="M13:M76">+N13+T13</f>
        <v>0</v>
      </c>
      <c r="N13" s="33"/>
      <c r="U13" s="4"/>
      <c r="V13" s="4"/>
      <c r="W13" s="4"/>
      <c r="X13" s="4"/>
    </row>
    <row r="14" spans="1:24" ht="15" customHeight="1">
      <c r="A14" s="12">
        <v>3</v>
      </c>
      <c r="B14" s="1"/>
      <c r="C14" s="34" t="s">
        <v>199</v>
      </c>
      <c r="D14" s="1" t="s">
        <v>56</v>
      </c>
      <c r="E14" s="64">
        <f aca="true" t="shared" si="2" ref="E14:E43">+F14+H14</f>
        <v>350.3</v>
      </c>
      <c r="F14" s="24">
        <v>350.3</v>
      </c>
      <c r="G14" s="24">
        <v>307</v>
      </c>
      <c r="H14" s="24"/>
      <c r="I14" s="4">
        <f t="shared" si="0"/>
        <v>0</v>
      </c>
      <c r="J14" s="4"/>
      <c r="K14" s="4"/>
      <c r="M14" s="33">
        <f t="shared" si="1"/>
        <v>0</v>
      </c>
      <c r="N14" s="33"/>
      <c r="U14" s="4"/>
      <c r="V14" s="4"/>
      <c r="W14" s="4"/>
      <c r="X14" s="4"/>
    </row>
    <row r="15" spans="1:24" ht="15" customHeight="1">
      <c r="A15" s="12">
        <v>4</v>
      </c>
      <c r="B15" s="1"/>
      <c r="C15" s="34" t="s">
        <v>200</v>
      </c>
      <c r="D15" s="1" t="s">
        <v>56</v>
      </c>
      <c r="E15" s="64">
        <f t="shared" si="2"/>
        <v>328.7</v>
      </c>
      <c r="F15" s="24">
        <v>328.7</v>
      </c>
      <c r="G15" s="24">
        <v>285.2</v>
      </c>
      <c r="H15" s="24"/>
      <c r="I15" s="4">
        <f t="shared" si="0"/>
        <v>0</v>
      </c>
      <c r="J15" s="4"/>
      <c r="K15" s="4">
        <v>-5.3</v>
      </c>
      <c r="M15" s="33">
        <f t="shared" si="1"/>
        <v>0</v>
      </c>
      <c r="N15" s="33"/>
      <c r="U15" s="4"/>
      <c r="V15" s="4"/>
      <c r="W15" s="4"/>
      <c r="X15" s="4"/>
    </row>
    <row r="16" spans="1:24" ht="15" customHeight="1">
      <c r="A16" s="12">
        <v>5</v>
      </c>
      <c r="B16" s="1"/>
      <c r="C16" s="34" t="s">
        <v>204</v>
      </c>
      <c r="D16" s="1" t="s">
        <v>56</v>
      </c>
      <c r="E16" s="64">
        <f t="shared" si="2"/>
        <v>343.2</v>
      </c>
      <c r="F16" s="24">
        <v>343.2</v>
      </c>
      <c r="G16" s="24">
        <v>298</v>
      </c>
      <c r="H16" s="24"/>
      <c r="I16" s="4">
        <f t="shared" si="0"/>
        <v>0</v>
      </c>
      <c r="J16" s="4"/>
      <c r="K16" s="4">
        <v>-11</v>
      </c>
      <c r="M16" s="33">
        <f t="shared" si="1"/>
        <v>0</v>
      </c>
      <c r="N16" s="33"/>
      <c r="U16" s="4"/>
      <c r="V16" s="4"/>
      <c r="W16" s="4"/>
      <c r="X16" s="4"/>
    </row>
    <row r="17" spans="1:24" ht="15" customHeight="1">
      <c r="A17" s="12">
        <v>6</v>
      </c>
      <c r="B17" s="1"/>
      <c r="C17" s="34" t="s">
        <v>201</v>
      </c>
      <c r="D17" s="1" t="s">
        <v>56</v>
      </c>
      <c r="E17" s="64">
        <f t="shared" si="2"/>
        <v>348.5</v>
      </c>
      <c r="F17" s="24">
        <v>348.5</v>
      </c>
      <c r="G17" s="24">
        <v>302.5</v>
      </c>
      <c r="H17" s="24"/>
      <c r="I17" s="4">
        <f t="shared" si="0"/>
        <v>2</v>
      </c>
      <c r="J17" s="4">
        <f>-3.6+2</f>
        <v>-1.6</v>
      </c>
      <c r="K17" s="4">
        <f>-10.6+2</f>
        <v>-8.6</v>
      </c>
      <c r="L17" s="2">
        <v>3.6</v>
      </c>
      <c r="M17" s="33">
        <f t="shared" si="1"/>
        <v>0</v>
      </c>
      <c r="N17" s="33"/>
      <c r="U17" s="4"/>
      <c r="V17" s="4"/>
      <c r="W17" s="4"/>
      <c r="X17" s="4"/>
    </row>
    <row r="18" spans="1:24" ht="15" customHeight="1">
      <c r="A18" s="12">
        <v>7</v>
      </c>
      <c r="B18" s="1"/>
      <c r="C18" s="34" t="s">
        <v>202</v>
      </c>
      <c r="D18" s="1" t="s">
        <v>56</v>
      </c>
      <c r="E18" s="64">
        <f t="shared" si="2"/>
        <v>360.3</v>
      </c>
      <c r="F18" s="24">
        <v>360.3</v>
      </c>
      <c r="G18" s="24">
        <v>314.6</v>
      </c>
      <c r="H18" s="24"/>
      <c r="I18" s="4">
        <f t="shared" si="0"/>
        <v>0</v>
      </c>
      <c r="J18" s="4"/>
      <c r="K18" s="4"/>
      <c r="M18" s="33">
        <f t="shared" si="1"/>
        <v>0</v>
      </c>
      <c r="N18" s="33"/>
      <c r="U18" s="4"/>
      <c r="V18" s="4"/>
      <c r="W18" s="4"/>
      <c r="X18" s="4"/>
    </row>
    <row r="19" spans="1:24" ht="15" customHeight="1">
      <c r="A19" s="12">
        <v>8</v>
      </c>
      <c r="B19" s="1"/>
      <c r="C19" s="34" t="s">
        <v>203</v>
      </c>
      <c r="D19" s="1" t="s">
        <v>56</v>
      </c>
      <c r="E19" s="64">
        <f t="shared" si="2"/>
        <v>362.2</v>
      </c>
      <c r="F19" s="24">
        <v>362.2</v>
      </c>
      <c r="G19" s="24">
        <v>308.5</v>
      </c>
      <c r="H19" s="24"/>
      <c r="I19" s="4">
        <f t="shared" si="0"/>
        <v>0</v>
      </c>
      <c r="J19" s="4"/>
      <c r="K19" s="4">
        <v>-5</v>
      </c>
      <c r="M19" s="33">
        <f t="shared" si="1"/>
        <v>0</v>
      </c>
      <c r="N19" s="33"/>
      <c r="U19" s="4"/>
      <c r="V19" s="4"/>
      <c r="W19" s="4"/>
      <c r="X19" s="4"/>
    </row>
    <row r="20" spans="1:24" ht="15" customHeight="1">
      <c r="A20" s="12">
        <v>9</v>
      </c>
      <c r="B20" s="15"/>
      <c r="C20" s="16" t="s">
        <v>317</v>
      </c>
      <c r="D20" s="15" t="s">
        <v>57</v>
      </c>
      <c r="E20" s="64">
        <f t="shared" si="2"/>
        <v>284.7</v>
      </c>
      <c r="F20" s="24">
        <v>284.7</v>
      </c>
      <c r="G20" s="24">
        <v>241.3</v>
      </c>
      <c r="H20" s="24"/>
      <c r="I20" s="4">
        <f t="shared" si="0"/>
        <v>0.8</v>
      </c>
      <c r="J20" s="4">
        <v>0.8</v>
      </c>
      <c r="K20" s="4">
        <v>0.8</v>
      </c>
      <c r="M20" s="33">
        <f t="shared" si="1"/>
        <v>0</v>
      </c>
      <c r="N20" s="33"/>
      <c r="U20" s="4"/>
      <c r="V20" s="4"/>
      <c r="W20" s="4"/>
      <c r="X20" s="4"/>
    </row>
    <row r="21" spans="1:24" ht="15" customHeight="1">
      <c r="A21" s="12">
        <v>10</v>
      </c>
      <c r="B21" s="15"/>
      <c r="C21" s="34" t="s">
        <v>207</v>
      </c>
      <c r="D21" s="15" t="s">
        <v>58</v>
      </c>
      <c r="E21" s="64">
        <f>+F21+H21</f>
        <v>303.7</v>
      </c>
      <c r="F21" s="24">
        <v>303.7</v>
      </c>
      <c r="G21" s="24">
        <v>237.4</v>
      </c>
      <c r="H21" s="24"/>
      <c r="I21" s="4">
        <f t="shared" si="0"/>
        <v>5.3</v>
      </c>
      <c r="J21" s="4">
        <v>5.3</v>
      </c>
      <c r="K21" s="4">
        <v>5.3</v>
      </c>
      <c r="M21" s="33">
        <f t="shared" si="1"/>
        <v>0</v>
      </c>
      <c r="N21" s="33"/>
      <c r="U21" s="4"/>
      <c r="V21" s="4"/>
      <c r="W21" s="4"/>
      <c r="X21" s="4"/>
    </row>
    <row r="22" spans="1:24" ht="25.5" customHeight="1">
      <c r="A22" s="12">
        <v>11</v>
      </c>
      <c r="B22" s="1"/>
      <c r="C22" s="34" t="s">
        <v>40</v>
      </c>
      <c r="D22" s="14" t="s">
        <v>121</v>
      </c>
      <c r="E22" s="64">
        <f t="shared" si="2"/>
        <v>287.9</v>
      </c>
      <c r="F22" s="24">
        <v>287.9</v>
      </c>
      <c r="G22" s="24">
        <f>177.6+10</f>
        <v>187.6</v>
      </c>
      <c r="H22" s="24"/>
      <c r="I22" s="4">
        <f t="shared" si="0"/>
        <v>0</v>
      </c>
      <c r="J22" s="4">
        <v>1.4</v>
      </c>
      <c r="K22" s="4">
        <v>-3.2</v>
      </c>
      <c r="L22" s="2">
        <v>-1.4</v>
      </c>
      <c r="M22" s="33">
        <f t="shared" si="1"/>
        <v>0</v>
      </c>
      <c r="N22" s="33"/>
      <c r="U22" s="4"/>
      <c r="V22" s="4"/>
      <c r="W22" s="4"/>
      <c r="X22" s="4"/>
    </row>
    <row r="23" spans="1:24" ht="15" customHeight="1">
      <c r="A23" s="12">
        <v>12</v>
      </c>
      <c r="B23" s="15"/>
      <c r="C23" s="16" t="s">
        <v>142</v>
      </c>
      <c r="D23" s="15" t="s">
        <v>58</v>
      </c>
      <c r="E23" s="64">
        <f t="shared" si="2"/>
        <v>636.3</v>
      </c>
      <c r="F23" s="24">
        <v>636.3</v>
      </c>
      <c r="G23" s="24">
        <v>523.4</v>
      </c>
      <c r="H23" s="24"/>
      <c r="I23" s="4">
        <f t="shared" si="0"/>
        <v>0</v>
      </c>
      <c r="J23" s="4"/>
      <c r="K23" s="4"/>
      <c r="M23" s="33">
        <f t="shared" si="1"/>
        <v>0</v>
      </c>
      <c r="N23" s="33"/>
      <c r="U23" s="4"/>
      <c r="V23" s="4"/>
      <c r="W23" s="4"/>
      <c r="X23" s="4"/>
    </row>
    <row r="24" spans="1:24" ht="15" customHeight="1">
      <c r="A24" s="12">
        <v>13</v>
      </c>
      <c r="B24" s="1"/>
      <c r="C24" s="16" t="s">
        <v>143</v>
      </c>
      <c r="D24" s="1" t="s">
        <v>58</v>
      </c>
      <c r="E24" s="64">
        <f t="shared" si="2"/>
        <v>393.7</v>
      </c>
      <c r="F24" s="24">
        <v>393.7</v>
      </c>
      <c r="G24" s="24">
        <v>299.6</v>
      </c>
      <c r="H24" s="24"/>
      <c r="I24" s="4">
        <f t="shared" si="0"/>
        <v>0</v>
      </c>
      <c r="J24" s="4"/>
      <c r="K24" s="4">
        <v>3</v>
      </c>
      <c r="M24" s="33">
        <f t="shared" si="1"/>
        <v>0</v>
      </c>
      <c r="N24" s="33"/>
      <c r="U24" s="4"/>
      <c r="V24" s="4"/>
      <c r="W24" s="4"/>
      <c r="X24" s="4"/>
    </row>
    <row r="25" spans="1:24" ht="15" customHeight="1">
      <c r="A25" s="12">
        <v>14</v>
      </c>
      <c r="B25" s="15"/>
      <c r="C25" s="16" t="s">
        <v>34</v>
      </c>
      <c r="D25" s="15" t="s">
        <v>58</v>
      </c>
      <c r="E25" s="64">
        <f t="shared" si="2"/>
        <v>587</v>
      </c>
      <c r="F25" s="24">
        <v>587</v>
      </c>
      <c r="G25" s="24">
        <v>467</v>
      </c>
      <c r="H25" s="24"/>
      <c r="I25" s="4">
        <f t="shared" si="0"/>
        <v>0</v>
      </c>
      <c r="J25" s="4"/>
      <c r="K25" s="4"/>
      <c r="M25" s="33">
        <f t="shared" si="1"/>
        <v>0</v>
      </c>
      <c r="N25" s="33"/>
      <c r="U25" s="4"/>
      <c r="V25" s="4"/>
      <c r="W25" s="4"/>
      <c r="X25" s="4"/>
    </row>
    <row r="26" spans="1:24" ht="15" customHeight="1">
      <c r="A26" s="12">
        <v>15</v>
      </c>
      <c r="B26" s="15"/>
      <c r="C26" s="34" t="s">
        <v>146</v>
      </c>
      <c r="D26" s="15" t="s">
        <v>58</v>
      </c>
      <c r="E26" s="64">
        <f>+F26+H26</f>
        <v>326.1</v>
      </c>
      <c r="F26" s="24">
        <v>326.1</v>
      </c>
      <c r="G26" s="24">
        <v>233.7</v>
      </c>
      <c r="H26" s="24"/>
      <c r="I26" s="4">
        <f t="shared" si="0"/>
        <v>1.4</v>
      </c>
      <c r="J26" s="4">
        <v>1.4</v>
      </c>
      <c r="K26" s="4">
        <f>13+1.4-1</f>
        <v>13.4</v>
      </c>
      <c r="M26" s="33">
        <f t="shared" si="1"/>
        <v>0</v>
      </c>
      <c r="N26" s="33"/>
      <c r="U26" s="4"/>
      <c r="V26" s="4"/>
      <c r="W26" s="4"/>
      <c r="X26" s="4"/>
    </row>
    <row r="27" spans="1:24" ht="27" customHeight="1">
      <c r="A27" s="12">
        <v>16</v>
      </c>
      <c r="B27" s="1"/>
      <c r="C27" s="16" t="s">
        <v>205</v>
      </c>
      <c r="D27" s="1" t="s">
        <v>59</v>
      </c>
      <c r="E27" s="64">
        <f t="shared" si="2"/>
        <v>426.1</v>
      </c>
      <c r="F27" s="24">
        <v>426.1</v>
      </c>
      <c r="G27" s="24">
        <v>291.7</v>
      </c>
      <c r="H27" s="24"/>
      <c r="I27" s="4">
        <f t="shared" si="0"/>
        <v>0</v>
      </c>
      <c r="J27" s="4">
        <f>7.1+0.5</f>
        <v>7.6</v>
      </c>
      <c r="K27" s="4">
        <f>21.3+0.5</f>
        <v>21.8</v>
      </c>
      <c r="L27" s="2">
        <f>-7.1-0.5</f>
        <v>-7.6</v>
      </c>
      <c r="M27" s="33">
        <f t="shared" si="1"/>
        <v>0</v>
      </c>
      <c r="N27" s="33"/>
      <c r="U27" s="4"/>
      <c r="V27" s="4"/>
      <c r="W27" s="4"/>
      <c r="X27" s="4"/>
    </row>
    <row r="28" spans="1:24" ht="15" customHeight="1">
      <c r="A28" s="12">
        <v>17</v>
      </c>
      <c r="B28" s="15"/>
      <c r="C28" s="34" t="s">
        <v>206</v>
      </c>
      <c r="D28" s="15" t="s">
        <v>59</v>
      </c>
      <c r="E28" s="64">
        <f t="shared" si="2"/>
        <v>299.9</v>
      </c>
      <c r="F28" s="24">
        <v>299.9</v>
      </c>
      <c r="G28" s="24">
        <v>219.7</v>
      </c>
      <c r="H28" s="24"/>
      <c r="I28" s="4">
        <f t="shared" si="0"/>
        <v>0</v>
      </c>
      <c r="J28" s="4"/>
      <c r="K28" s="4">
        <v>1.7</v>
      </c>
      <c r="M28" s="33">
        <f t="shared" si="1"/>
        <v>0</v>
      </c>
      <c r="N28" s="33"/>
      <c r="U28" s="4"/>
      <c r="V28" s="4"/>
      <c r="W28" s="4"/>
      <c r="X28" s="4"/>
    </row>
    <row r="29" spans="1:24" ht="15" customHeight="1">
      <c r="A29" s="12">
        <v>18</v>
      </c>
      <c r="B29" s="1"/>
      <c r="C29" s="16" t="s">
        <v>123</v>
      </c>
      <c r="D29" s="1" t="s">
        <v>59</v>
      </c>
      <c r="E29" s="64">
        <f t="shared" si="2"/>
        <v>309</v>
      </c>
      <c r="F29" s="24">
        <v>309</v>
      </c>
      <c r="G29" s="24">
        <v>230.7</v>
      </c>
      <c r="H29" s="24"/>
      <c r="I29" s="4">
        <f t="shared" si="0"/>
        <v>0</v>
      </c>
      <c r="J29" s="4"/>
      <c r="K29" s="4"/>
      <c r="M29" s="33">
        <f t="shared" si="1"/>
        <v>0</v>
      </c>
      <c r="N29" s="33"/>
      <c r="P29" s="17"/>
      <c r="U29" s="4"/>
      <c r="V29" s="4"/>
      <c r="W29" s="4"/>
      <c r="X29" s="4"/>
    </row>
    <row r="30" spans="1:24" ht="15" customHeight="1">
      <c r="A30" s="12">
        <v>19</v>
      </c>
      <c r="B30" s="1"/>
      <c r="C30" s="16" t="s">
        <v>35</v>
      </c>
      <c r="D30" s="1" t="s">
        <v>59</v>
      </c>
      <c r="E30" s="64">
        <f t="shared" si="2"/>
        <v>186.5</v>
      </c>
      <c r="F30" s="24">
        <v>186.5</v>
      </c>
      <c r="G30" s="24">
        <v>144.1</v>
      </c>
      <c r="H30" s="24"/>
      <c r="I30" s="4">
        <f t="shared" si="0"/>
        <v>0</v>
      </c>
      <c r="J30" s="4"/>
      <c r="K30" s="4">
        <v>7</v>
      </c>
      <c r="M30" s="33">
        <f t="shared" si="1"/>
        <v>0</v>
      </c>
      <c r="N30" s="33"/>
      <c r="U30" s="4"/>
      <c r="V30" s="4"/>
      <c r="W30" s="4"/>
      <c r="X30" s="4"/>
    </row>
    <row r="31" spans="1:24" ht="15" customHeight="1">
      <c r="A31" s="12">
        <v>20</v>
      </c>
      <c r="B31" s="15"/>
      <c r="C31" s="16" t="s">
        <v>144</v>
      </c>
      <c r="D31" s="15" t="s">
        <v>59</v>
      </c>
      <c r="E31" s="64">
        <f t="shared" si="2"/>
        <v>554.7</v>
      </c>
      <c r="F31" s="24">
        <v>554.7</v>
      </c>
      <c r="G31" s="24">
        <v>429.9</v>
      </c>
      <c r="H31" s="24"/>
      <c r="I31" s="4">
        <f t="shared" si="0"/>
        <v>0</v>
      </c>
      <c r="J31" s="4"/>
      <c r="K31" s="4"/>
      <c r="M31" s="33">
        <f t="shared" si="1"/>
        <v>0</v>
      </c>
      <c r="N31" s="33"/>
      <c r="U31" s="4"/>
      <c r="V31" s="4"/>
      <c r="W31" s="4"/>
      <c r="X31" s="4"/>
    </row>
    <row r="32" spans="1:24" ht="15" customHeight="1">
      <c r="A32" s="12">
        <v>21</v>
      </c>
      <c r="B32" s="1"/>
      <c r="C32" s="16" t="s">
        <v>170</v>
      </c>
      <c r="D32" s="1" t="s">
        <v>59</v>
      </c>
      <c r="E32" s="64">
        <f t="shared" si="2"/>
        <v>126.2</v>
      </c>
      <c r="F32" s="24">
        <v>126.2</v>
      </c>
      <c r="G32" s="24">
        <v>92.1</v>
      </c>
      <c r="H32" s="24"/>
      <c r="I32" s="4">
        <f t="shared" si="0"/>
        <v>0</v>
      </c>
      <c r="J32" s="4"/>
      <c r="K32" s="4">
        <v>-1</v>
      </c>
      <c r="M32" s="33">
        <f t="shared" si="1"/>
        <v>0</v>
      </c>
      <c r="N32" s="33"/>
      <c r="U32" s="4"/>
      <c r="V32" s="4"/>
      <c r="W32" s="4"/>
      <c r="X32" s="4"/>
    </row>
    <row r="33" spans="1:24" ht="16.5" customHeight="1">
      <c r="A33" s="12">
        <v>22</v>
      </c>
      <c r="B33" s="1"/>
      <c r="C33" s="16" t="s">
        <v>36</v>
      </c>
      <c r="D33" s="1" t="s">
        <v>59</v>
      </c>
      <c r="E33" s="64">
        <f t="shared" si="2"/>
        <v>167.7</v>
      </c>
      <c r="F33" s="24">
        <v>167.7</v>
      </c>
      <c r="G33" s="24">
        <v>137.1</v>
      </c>
      <c r="H33" s="24"/>
      <c r="I33" s="4">
        <f t="shared" si="0"/>
        <v>0</v>
      </c>
      <c r="J33" s="4"/>
      <c r="K33" s="4">
        <v>2</v>
      </c>
      <c r="M33" s="33">
        <f t="shared" si="1"/>
        <v>0</v>
      </c>
      <c r="N33" s="33"/>
      <c r="U33" s="4"/>
      <c r="V33" s="4"/>
      <c r="W33" s="4"/>
      <c r="X33" s="4"/>
    </row>
    <row r="34" spans="1:24" ht="15" customHeight="1">
      <c r="A34" s="12">
        <v>23</v>
      </c>
      <c r="B34" s="1"/>
      <c r="C34" s="16" t="s">
        <v>145</v>
      </c>
      <c r="D34" s="1" t="s">
        <v>59</v>
      </c>
      <c r="E34" s="64">
        <f t="shared" si="2"/>
        <v>157</v>
      </c>
      <c r="F34" s="24">
        <v>157</v>
      </c>
      <c r="G34" s="24">
        <v>120.6</v>
      </c>
      <c r="H34" s="24"/>
      <c r="I34" s="4">
        <f t="shared" si="0"/>
        <v>0</v>
      </c>
      <c r="J34" s="4"/>
      <c r="K34" s="4">
        <v>1</v>
      </c>
      <c r="M34" s="33">
        <f t="shared" si="1"/>
        <v>0</v>
      </c>
      <c r="N34" s="33"/>
      <c r="U34" s="4"/>
      <c r="V34" s="4"/>
      <c r="W34" s="4"/>
      <c r="X34" s="4"/>
    </row>
    <row r="35" spans="1:24" ht="36.75" customHeight="1">
      <c r="A35" s="12">
        <v>24</v>
      </c>
      <c r="B35" s="1"/>
      <c r="C35" s="16" t="s">
        <v>112</v>
      </c>
      <c r="D35" s="14" t="s">
        <v>109</v>
      </c>
      <c r="E35" s="64">
        <f t="shared" si="2"/>
        <v>323.7</v>
      </c>
      <c r="F35" s="24">
        <v>323.7</v>
      </c>
      <c r="G35" s="24">
        <v>234.6</v>
      </c>
      <c r="H35" s="24"/>
      <c r="I35" s="4">
        <f t="shared" si="0"/>
        <v>0</v>
      </c>
      <c r="J35" s="4"/>
      <c r="K35" s="4">
        <v>10.9</v>
      </c>
      <c r="M35" s="33">
        <f t="shared" si="1"/>
        <v>0</v>
      </c>
      <c r="N35" s="33"/>
      <c r="U35" s="4"/>
      <c r="V35" s="4"/>
      <c r="W35" s="4"/>
      <c r="X35" s="4"/>
    </row>
    <row r="36" spans="1:24" ht="12.75">
      <c r="A36" s="12">
        <v>25</v>
      </c>
      <c r="B36" s="15"/>
      <c r="C36" s="16" t="s">
        <v>43</v>
      </c>
      <c r="D36" s="36" t="s">
        <v>59</v>
      </c>
      <c r="E36" s="64">
        <f t="shared" si="2"/>
        <v>0.1</v>
      </c>
      <c r="F36" s="24">
        <v>0.1</v>
      </c>
      <c r="G36" s="24"/>
      <c r="H36" s="24"/>
      <c r="I36" s="4">
        <f t="shared" si="0"/>
        <v>10</v>
      </c>
      <c r="J36" s="4">
        <v>10</v>
      </c>
      <c r="K36" s="4"/>
      <c r="M36" s="33">
        <f t="shared" si="1"/>
        <v>0</v>
      </c>
      <c r="N36" s="33"/>
      <c r="U36" s="4"/>
      <c r="V36" s="4"/>
      <c r="W36" s="4"/>
      <c r="X36" s="4"/>
    </row>
    <row r="37" spans="1:24" ht="15" customHeight="1">
      <c r="A37" s="83">
        <v>26</v>
      </c>
      <c r="B37" s="73"/>
      <c r="C37" s="34" t="s">
        <v>49</v>
      </c>
      <c r="D37" s="73" t="s">
        <v>60</v>
      </c>
      <c r="E37" s="64">
        <f t="shared" si="2"/>
        <v>213.6</v>
      </c>
      <c r="F37" s="24">
        <f>209.6+F38</f>
        <v>213.6</v>
      </c>
      <c r="G37" s="24">
        <f>205.2+G38</f>
        <v>209.1</v>
      </c>
      <c r="H37" s="24"/>
      <c r="I37" s="4">
        <f t="shared" si="0"/>
        <v>0</v>
      </c>
      <c r="J37" s="4"/>
      <c r="K37" s="4"/>
      <c r="M37" s="33">
        <f t="shared" si="1"/>
        <v>0</v>
      </c>
      <c r="N37" s="33"/>
      <c r="U37" s="4"/>
      <c r="V37" s="4"/>
      <c r="W37" s="4"/>
      <c r="X37" s="4"/>
    </row>
    <row r="38" spans="1:24" ht="38.25">
      <c r="A38" s="84"/>
      <c r="B38" s="74"/>
      <c r="C38" s="16" t="s">
        <v>298</v>
      </c>
      <c r="D38" s="74"/>
      <c r="E38" s="64">
        <f>+F38+H38</f>
        <v>4</v>
      </c>
      <c r="F38" s="24">
        <v>4</v>
      </c>
      <c r="G38" s="24">
        <v>3.9</v>
      </c>
      <c r="H38" s="24"/>
      <c r="I38" s="4">
        <f t="shared" si="0"/>
        <v>0</v>
      </c>
      <c r="J38" s="4"/>
      <c r="K38" s="4"/>
      <c r="M38" s="33">
        <f t="shared" si="1"/>
        <v>0</v>
      </c>
      <c r="N38" s="33"/>
      <c r="U38" s="4"/>
      <c r="V38" s="4"/>
      <c r="W38" s="4"/>
      <c r="X38" s="4"/>
    </row>
    <row r="39" spans="1:24" ht="15" customHeight="1">
      <c r="A39" s="83">
        <v>27</v>
      </c>
      <c r="B39" s="73"/>
      <c r="C39" s="34" t="s">
        <v>41</v>
      </c>
      <c r="D39" s="73" t="s">
        <v>60</v>
      </c>
      <c r="E39" s="64">
        <f t="shared" si="2"/>
        <v>253.79999999999998</v>
      </c>
      <c r="F39" s="24">
        <f>249.6+F40</f>
        <v>253.79999999999998</v>
      </c>
      <c r="G39" s="24">
        <f>244.8+G40</f>
        <v>248.9</v>
      </c>
      <c r="H39" s="24"/>
      <c r="I39" s="4">
        <f t="shared" si="0"/>
        <v>0</v>
      </c>
      <c r="J39" s="4"/>
      <c r="K39" s="4">
        <v>-2.3</v>
      </c>
      <c r="M39" s="33">
        <f t="shared" si="1"/>
        <v>0</v>
      </c>
      <c r="N39" s="33"/>
      <c r="U39" s="4"/>
      <c r="V39" s="4"/>
      <c r="W39" s="4"/>
      <c r="X39" s="4"/>
    </row>
    <row r="40" spans="1:24" ht="38.25">
      <c r="A40" s="84"/>
      <c r="B40" s="74"/>
      <c r="C40" s="16" t="s">
        <v>298</v>
      </c>
      <c r="D40" s="74"/>
      <c r="E40" s="64">
        <f>+F40+H40</f>
        <v>4.2</v>
      </c>
      <c r="F40" s="24">
        <v>4.2</v>
      </c>
      <c r="G40" s="24">
        <v>4.1</v>
      </c>
      <c r="H40" s="24"/>
      <c r="I40" s="4">
        <f t="shared" si="0"/>
        <v>0</v>
      </c>
      <c r="J40" s="4"/>
      <c r="K40" s="4"/>
      <c r="M40" s="33">
        <f t="shared" si="1"/>
        <v>0</v>
      </c>
      <c r="N40" s="33"/>
      <c r="U40" s="4"/>
      <c r="V40" s="4"/>
      <c r="W40" s="4"/>
      <c r="X40" s="4"/>
    </row>
    <row r="41" spans="1:24" ht="15" customHeight="1">
      <c r="A41" s="83">
        <v>28</v>
      </c>
      <c r="B41" s="73"/>
      <c r="C41" s="34" t="s">
        <v>42</v>
      </c>
      <c r="D41" s="73" t="s">
        <v>60</v>
      </c>
      <c r="E41" s="64">
        <f t="shared" si="2"/>
        <v>694.9</v>
      </c>
      <c r="F41" s="24">
        <f>679.1+F42</f>
        <v>694.9</v>
      </c>
      <c r="G41" s="24">
        <f>665.1+G42</f>
        <v>680.7</v>
      </c>
      <c r="H41" s="24"/>
      <c r="I41" s="4">
        <f t="shared" si="0"/>
        <v>0</v>
      </c>
      <c r="J41" s="4"/>
      <c r="K41" s="4">
        <v>-3.1</v>
      </c>
      <c r="M41" s="33">
        <f t="shared" si="1"/>
        <v>0</v>
      </c>
      <c r="N41" s="33"/>
      <c r="U41" s="4"/>
      <c r="V41" s="4"/>
      <c r="W41" s="4"/>
      <c r="X41" s="4"/>
    </row>
    <row r="42" spans="1:24" ht="38.25">
      <c r="A42" s="84"/>
      <c r="B42" s="74"/>
      <c r="C42" s="16" t="s">
        <v>298</v>
      </c>
      <c r="D42" s="74"/>
      <c r="E42" s="64">
        <f>+F42+H42</f>
        <v>15.8</v>
      </c>
      <c r="F42" s="24">
        <v>15.8</v>
      </c>
      <c r="G42" s="24">
        <v>15.6</v>
      </c>
      <c r="H42" s="24"/>
      <c r="I42" s="4">
        <f t="shared" si="0"/>
        <v>0</v>
      </c>
      <c r="J42" s="4"/>
      <c r="K42" s="4"/>
      <c r="M42" s="33">
        <f t="shared" si="1"/>
        <v>0</v>
      </c>
      <c r="N42" s="33"/>
      <c r="U42" s="4"/>
      <c r="V42" s="4"/>
      <c r="W42" s="4"/>
      <c r="X42" s="4"/>
    </row>
    <row r="43" spans="1:24" ht="15" customHeight="1">
      <c r="A43" s="83">
        <v>29</v>
      </c>
      <c r="B43" s="73"/>
      <c r="C43" s="34" t="s">
        <v>113</v>
      </c>
      <c r="D43" s="73" t="s">
        <v>60</v>
      </c>
      <c r="E43" s="64">
        <f t="shared" si="2"/>
        <v>550</v>
      </c>
      <c r="F43" s="24">
        <f>545.2+F44</f>
        <v>550</v>
      </c>
      <c r="G43" s="24">
        <f>389.3+G44</f>
        <v>394</v>
      </c>
      <c r="H43" s="24"/>
      <c r="I43" s="4">
        <f t="shared" si="0"/>
        <v>3.7</v>
      </c>
      <c r="J43" s="4">
        <v>3.7</v>
      </c>
      <c r="K43" s="4">
        <v>3.6</v>
      </c>
      <c r="M43" s="33">
        <f t="shared" si="1"/>
        <v>0</v>
      </c>
      <c r="N43" s="33"/>
      <c r="U43" s="4"/>
      <c r="V43" s="4"/>
      <c r="W43" s="4"/>
      <c r="X43" s="4"/>
    </row>
    <row r="44" spans="1:24" ht="38.25">
      <c r="A44" s="84"/>
      <c r="B44" s="74"/>
      <c r="C44" s="16" t="s">
        <v>298</v>
      </c>
      <c r="D44" s="74"/>
      <c r="E44" s="64">
        <f>+F44+H44</f>
        <v>4.8</v>
      </c>
      <c r="F44" s="24">
        <v>4.8</v>
      </c>
      <c r="G44" s="24">
        <v>4.7</v>
      </c>
      <c r="H44" s="24"/>
      <c r="I44" s="4">
        <f t="shared" si="0"/>
        <v>0</v>
      </c>
      <c r="J44" s="4"/>
      <c r="K44" s="4"/>
      <c r="M44" s="33">
        <f t="shared" si="1"/>
        <v>0</v>
      </c>
      <c r="N44" s="33"/>
      <c r="U44" s="4"/>
      <c r="V44" s="4"/>
      <c r="W44" s="4"/>
      <c r="X44" s="4"/>
    </row>
    <row r="45" spans="1:24" ht="24.75" customHeight="1">
      <c r="A45" s="12">
        <v>30</v>
      </c>
      <c r="B45" s="1"/>
      <c r="C45" s="34" t="s">
        <v>141</v>
      </c>
      <c r="D45" s="14" t="s">
        <v>172</v>
      </c>
      <c r="E45" s="64">
        <f>+F45+H45</f>
        <v>115.7</v>
      </c>
      <c r="F45" s="24">
        <v>115.7</v>
      </c>
      <c r="G45" s="24">
        <v>97.1</v>
      </c>
      <c r="H45" s="24"/>
      <c r="I45" s="4">
        <f t="shared" si="0"/>
        <v>0</v>
      </c>
      <c r="J45" s="4"/>
      <c r="K45" s="4">
        <v>3</v>
      </c>
      <c r="M45" s="33">
        <f t="shared" si="1"/>
        <v>0</v>
      </c>
      <c r="N45" s="33"/>
      <c r="U45" s="4"/>
      <c r="V45" s="4"/>
      <c r="W45" s="4"/>
      <c r="X45" s="4"/>
    </row>
    <row r="46" spans="1:24" ht="15" customHeight="1">
      <c r="A46" s="12">
        <v>31</v>
      </c>
      <c r="B46" s="1"/>
      <c r="C46" s="65" t="s">
        <v>14</v>
      </c>
      <c r="D46" s="1" t="s">
        <v>56</v>
      </c>
      <c r="E46" s="64">
        <f>+F46+H46</f>
        <v>118.7</v>
      </c>
      <c r="F46" s="24">
        <v>118.7</v>
      </c>
      <c r="G46" s="24">
        <v>92.1</v>
      </c>
      <c r="H46" s="24"/>
      <c r="I46" s="4">
        <f t="shared" si="0"/>
        <v>0</v>
      </c>
      <c r="J46" s="4"/>
      <c r="K46" s="4">
        <v>1.6</v>
      </c>
      <c r="M46" s="33">
        <f t="shared" si="1"/>
        <v>0</v>
      </c>
      <c r="N46" s="33"/>
      <c r="U46" s="4"/>
      <c r="V46" s="4"/>
      <c r="W46" s="4"/>
      <c r="X46" s="4"/>
    </row>
    <row r="47" spans="1:24" ht="15" customHeight="1">
      <c r="A47" s="12">
        <v>32</v>
      </c>
      <c r="B47" s="1"/>
      <c r="C47" s="65" t="s">
        <v>20</v>
      </c>
      <c r="D47" s="1" t="s">
        <v>56</v>
      </c>
      <c r="E47" s="64">
        <f>+F47+H47</f>
        <v>112</v>
      </c>
      <c r="F47" s="24">
        <v>112</v>
      </c>
      <c r="G47" s="24">
        <v>91</v>
      </c>
      <c r="H47" s="24"/>
      <c r="I47" s="4">
        <f t="shared" si="0"/>
        <v>0</v>
      </c>
      <c r="J47" s="4"/>
      <c r="K47" s="4"/>
      <c r="M47" s="33">
        <f t="shared" si="1"/>
        <v>0</v>
      </c>
      <c r="N47" s="33"/>
      <c r="U47" s="4"/>
      <c r="V47" s="4"/>
      <c r="W47" s="4"/>
      <c r="X47" s="4"/>
    </row>
    <row r="48" spans="1:24" ht="15" customHeight="1">
      <c r="A48" s="12">
        <v>33</v>
      </c>
      <c r="B48" s="1"/>
      <c r="C48" s="18" t="s">
        <v>253</v>
      </c>
      <c r="D48" s="1"/>
      <c r="E48" s="64">
        <f>+F48+H48</f>
        <v>414.29999999999995</v>
      </c>
      <c r="F48" s="64">
        <f>+F49+F50+F51+F52+F53</f>
        <v>325.4</v>
      </c>
      <c r="G48" s="64">
        <f>+G49+G51+G52+G53</f>
        <v>123.6</v>
      </c>
      <c r="H48" s="64">
        <f>+H49+H51+H52+H53</f>
        <v>88.9</v>
      </c>
      <c r="I48" s="4">
        <f t="shared" si="0"/>
        <v>0</v>
      </c>
      <c r="J48" s="4"/>
      <c r="K48" s="4"/>
      <c r="M48" s="33">
        <f t="shared" si="1"/>
        <v>0</v>
      </c>
      <c r="N48" s="33"/>
      <c r="U48" s="4"/>
      <c r="V48" s="4"/>
      <c r="W48" s="4"/>
      <c r="X48" s="4"/>
    </row>
    <row r="49" spans="1:24" ht="15" customHeight="1">
      <c r="A49" s="56" t="s">
        <v>216</v>
      </c>
      <c r="B49" s="1"/>
      <c r="C49" s="34" t="s">
        <v>2</v>
      </c>
      <c r="D49" s="14" t="s">
        <v>148</v>
      </c>
      <c r="E49" s="64">
        <f aca="true" t="shared" si="3" ref="E49:E64">+F49+H49</f>
        <v>131.8</v>
      </c>
      <c r="F49" s="64">
        <v>131.8</v>
      </c>
      <c r="G49" s="64">
        <v>123.6</v>
      </c>
      <c r="H49" s="64"/>
      <c r="I49" s="4">
        <f t="shared" si="0"/>
        <v>-15.2</v>
      </c>
      <c r="J49" s="4">
        <v>-15.2</v>
      </c>
      <c r="K49" s="4">
        <v>-17.3</v>
      </c>
      <c r="M49" s="33">
        <f t="shared" si="1"/>
        <v>0</v>
      </c>
      <c r="N49" s="33"/>
      <c r="U49" s="4"/>
      <c r="V49" s="4"/>
      <c r="W49" s="4"/>
      <c r="X49" s="4"/>
    </row>
    <row r="50" spans="1:24" ht="25.5">
      <c r="A50" s="56" t="s">
        <v>217</v>
      </c>
      <c r="B50" s="1"/>
      <c r="C50" s="16" t="s">
        <v>319</v>
      </c>
      <c r="D50" s="14" t="s">
        <v>195</v>
      </c>
      <c r="E50" s="64">
        <f t="shared" si="3"/>
        <v>16</v>
      </c>
      <c r="F50" s="64">
        <f>16</f>
        <v>16</v>
      </c>
      <c r="G50" s="24"/>
      <c r="H50" s="24"/>
      <c r="I50" s="4"/>
      <c r="J50" s="4"/>
      <c r="K50" s="4"/>
      <c r="M50" s="33">
        <f t="shared" si="1"/>
        <v>0</v>
      </c>
      <c r="N50" s="33"/>
      <c r="U50" s="4"/>
      <c r="V50" s="4"/>
      <c r="W50" s="4"/>
      <c r="X50" s="4"/>
    </row>
    <row r="51" spans="1:24" ht="25.5">
      <c r="A51" s="56" t="s">
        <v>218</v>
      </c>
      <c r="B51" s="1"/>
      <c r="C51" s="66" t="s">
        <v>254</v>
      </c>
      <c r="D51" s="1" t="s">
        <v>62</v>
      </c>
      <c r="E51" s="64">
        <f t="shared" si="3"/>
        <v>25</v>
      </c>
      <c r="F51" s="64">
        <v>25</v>
      </c>
      <c r="G51" s="24"/>
      <c r="H51" s="24"/>
      <c r="I51" s="4">
        <f t="shared" si="0"/>
        <v>0</v>
      </c>
      <c r="J51" s="4"/>
      <c r="K51" s="4"/>
      <c r="M51" s="33">
        <f t="shared" si="1"/>
        <v>0</v>
      </c>
      <c r="N51" s="33"/>
      <c r="U51" s="4"/>
      <c r="V51" s="4"/>
      <c r="W51" s="4"/>
      <c r="X51" s="4"/>
    </row>
    <row r="52" spans="1:24" ht="15" customHeight="1">
      <c r="A52" s="56" t="s">
        <v>219</v>
      </c>
      <c r="B52" s="1"/>
      <c r="C52" s="66" t="s">
        <v>255</v>
      </c>
      <c r="D52" s="1" t="s">
        <v>63</v>
      </c>
      <c r="E52" s="64">
        <f t="shared" si="3"/>
        <v>14</v>
      </c>
      <c r="F52" s="64">
        <v>14</v>
      </c>
      <c r="G52" s="24"/>
      <c r="H52" s="24"/>
      <c r="I52" s="4">
        <f t="shared" si="0"/>
        <v>0</v>
      </c>
      <c r="J52" s="4"/>
      <c r="K52" s="4"/>
      <c r="M52" s="33">
        <f t="shared" si="1"/>
        <v>0</v>
      </c>
      <c r="N52" s="33"/>
      <c r="U52" s="4"/>
      <c r="V52" s="4"/>
      <c r="W52" s="4"/>
      <c r="X52" s="4"/>
    </row>
    <row r="53" spans="1:24" ht="39" customHeight="1">
      <c r="A53" s="56" t="s">
        <v>351</v>
      </c>
      <c r="B53" s="1"/>
      <c r="C53" s="37" t="s">
        <v>318</v>
      </c>
      <c r="D53" s="1"/>
      <c r="E53" s="59">
        <f>+F53+H53</f>
        <v>227.5</v>
      </c>
      <c r="F53" s="51">
        <f>+F54+F55+F56+F57+F58+F59+F60+F61+F62+F63+F64</f>
        <v>138.6</v>
      </c>
      <c r="G53" s="51">
        <f>+G54+G55+G56+G57+G58+G59+G60+G61+G62+G63+G64</f>
        <v>0</v>
      </c>
      <c r="H53" s="51">
        <f>+H54+H55+H56+H57+H58+H59+H60+H61+H62+H63+H64</f>
        <v>88.9</v>
      </c>
      <c r="I53" s="4">
        <f t="shared" si="0"/>
        <v>0</v>
      </c>
      <c r="J53" s="4"/>
      <c r="K53" s="4"/>
      <c r="M53" s="33">
        <f t="shared" si="1"/>
        <v>0</v>
      </c>
      <c r="N53" s="33"/>
      <c r="U53" s="4"/>
      <c r="V53" s="4"/>
      <c r="W53" s="4"/>
      <c r="X53" s="4"/>
    </row>
    <row r="54" spans="1:24" ht="37.5" customHeight="1">
      <c r="A54" s="57" t="s">
        <v>352</v>
      </c>
      <c r="B54" s="15"/>
      <c r="C54" s="28" t="s">
        <v>174</v>
      </c>
      <c r="D54" s="15" t="s">
        <v>59</v>
      </c>
      <c r="E54" s="64">
        <f t="shared" si="3"/>
        <v>43.3</v>
      </c>
      <c r="F54" s="64">
        <v>2</v>
      </c>
      <c r="G54" s="24"/>
      <c r="H54" s="24">
        <f>75.1-33.8</f>
        <v>41.3</v>
      </c>
      <c r="I54" s="4">
        <f t="shared" si="0"/>
        <v>12.8</v>
      </c>
      <c r="J54" s="4">
        <v>0.5</v>
      </c>
      <c r="K54" s="4"/>
      <c r="L54" s="2">
        <f>-5.2+17.5</f>
        <v>12.3</v>
      </c>
      <c r="M54" s="33">
        <f t="shared" si="1"/>
        <v>0</v>
      </c>
      <c r="N54" s="33"/>
      <c r="R54" s="40"/>
      <c r="U54" s="4"/>
      <c r="V54" s="4"/>
      <c r="W54" s="4"/>
      <c r="X54" s="4"/>
    </row>
    <row r="55" spans="1:24" ht="25.5">
      <c r="A55" s="57" t="s">
        <v>353</v>
      </c>
      <c r="B55" s="15"/>
      <c r="C55" s="38" t="s">
        <v>280</v>
      </c>
      <c r="D55" s="15" t="s">
        <v>56</v>
      </c>
      <c r="E55" s="64">
        <f>+F55+H55</f>
        <v>14.6</v>
      </c>
      <c r="F55" s="64">
        <v>0.9</v>
      </c>
      <c r="G55" s="24"/>
      <c r="H55" s="24">
        <v>13.7</v>
      </c>
      <c r="I55" s="4">
        <f t="shared" si="0"/>
        <v>2</v>
      </c>
      <c r="J55" s="4"/>
      <c r="K55" s="4"/>
      <c r="L55" s="2">
        <v>2</v>
      </c>
      <c r="M55" s="33">
        <f t="shared" si="1"/>
        <v>0</v>
      </c>
      <c r="N55" s="33"/>
      <c r="U55" s="4"/>
      <c r="V55" s="4"/>
      <c r="W55" s="4"/>
      <c r="X55" s="4"/>
    </row>
    <row r="56" spans="1:24" ht="25.5">
      <c r="A56" s="57" t="s">
        <v>354</v>
      </c>
      <c r="B56" s="15"/>
      <c r="C56" s="19" t="s">
        <v>281</v>
      </c>
      <c r="D56" s="15" t="s">
        <v>56</v>
      </c>
      <c r="E56" s="64">
        <f>+F56+H56</f>
        <v>34.6</v>
      </c>
      <c r="F56" s="64">
        <v>0.7</v>
      </c>
      <c r="G56" s="24"/>
      <c r="H56" s="24">
        <v>33.9</v>
      </c>
      <c r="I56" s="4">
        <f t="shared" si="0"/>
        <v>2.5</v>
      </c>
      <c r="J56" s="4"/>
      <c r="K56" s="4"/>
      <c r="L56" s="2">
        <v>2.5</v>
      </c>
      <c r="M56" s="33">
        <f t="shared" si="1"/>
        <v>0</v>
      </c>
      <c r="N56" s="33"/>
      <c r="U56" s="4"/>
      <c r="V56" s="4"/>
      <c r="W56" s="4"/>
      <c r="X56" s="4"/>
    </row>
    <row r="57" spans="1:24" ht="26.25" customHeight="1">
      <c r="A57" s="57" t="s">
        <v>355</v>
      </c>
      <c r="B57" s="1"/>
      <c r="C57" s="19" t="s">
        <v>149</v>
      </c>
      <c r="D57" s="1" t="s">
        <v>59</v>
      </c>
      <c r="E57" s="64">
        <f>+F57+H57</f>
        <v>20</v>
      </c>
      <c r="F57" s="64">
        <v>20</v>
      </c>
      <c r="G57" s="24"/>
      <c r="H57" s="24"/>
      <c r="I57" s="4">
        <f>+J57+L57</f>
        <v>0</v>
      </c>
      <c r="J57" s="4"/>
      <c r="K57" s="4"/>
      <c r="M57" s="33">
        <f t="shared" si="1"/>
        <v>0</v>
      </c>
      <c r="N57" s="33"/>
      <c r="U57" s="4"/>
      <c r="V57" s="4"/>
      <c r="W57" s="4"/>
      <c r="X57" s="4"/>
    </row>
    <row r="58" spans="1:24" ht="15" customHeight="1">
      <c r="A58" s="57" t="s">
        <v>356</v>
      </c>
      <c r="B58" s="1"/>
      <c r="C58" s="19" t="s">
        <v>197</v>
      </c>
      <c r="D58" s="1" t="s">
        <v>59</v>
      </c>
      <c r="E58" s="64">
        <f>+F58+H58</f>
        <v>10</v>
      </c>
      <c r="F58" s="64">
        <v>10</v>
      </c>
      <c r="G58" s="24"/>
      <c r="H58" s="24"/>
      <c r="I58" s="4">
        <f>+J58+L58</f>
        <v>0</v>
      </c>
      <c r="J58" s="4"/>
      <c r="K58" s="4"/>
      <c r="M58" s="33">
        <f t="shared" si="1"/>
        <v>0</v>
      </c>
      <c r="N58" s="33"/>
      <c r="U58" s="4"/>
      <c r="V58" s="4"/>
      <c r="W58" s="4"/>
      <c r="X58" s="4"/>
    </row>
    <row r="59" spans="1:24" ht="15" customHeight="1">
      <c r="A59" s="57" t="s">
        <v>357</v>
      </c>
      <c r="B59" s="1"/>
      <c r="C59" s="19" t="s">
        <v>125</v>
      </c>
      <c r="D59" s="14" t="s">
        <v>195</v>
      </c>
      <c r="E59" s="64">
        <f t="shared" si="3"/>
        <v>10</v>
      </c>
      <c r="F59" s="64">
        <v>10</v>
      </c>
      <c r="G59" s="24"/>
      <c r="H59" s="24"/>
      <c r="I59" s="4">
        <f t="shared" si="0"/>
        <v>0</v>
      </c>
      <c r="J59" s="4"/>
      <c r="K59" s="4"/>
      <c r="M59" s="33">
        <f t="shared" si="1"/>
        <v>0</v>
      </c>
      <c r="N59" s="33"/>
      <c r="U59" s="4"/>
      <c r="V59" s="4"/>
      <c r="W59" s="4"/>
      <c r="X59" s="4"/>
    </row>
    <row r="60" spans="1:24" ht="44.25" customHeight="1">
      <c r="A60" s="57" t="s">
        <v>358</v>
      </c>
      <c r="B60" s="1"/>
      <c r="C60" s="19" t="s">
        <v>126</v>
      </c>
      <c r="D60" s="14" t="s">
        <v>195</v>
      </c>
      <c r="E60" s="64">
        <f t="shared" si="3"/>
        <v>25</v>
      </c>
      <c r="F60" s="64">
        <v>25</v>
      </c>
      <c r="G60" s="24"/>
      <c r="H60" s="24"/>
      <c r="I60" s="4">
        <f t="shared" si="0"/>
        <v>0</v>
      </c>
      <c r="J60" s="4"/>
      <c r="K60" s="4"/>
      <c r="M60" s="33">
        <f t="shared" si="1"/>
        <v>0</v>
      </c>
      <c r="N60" s="33"/>
      <c r="U60" s="4"/>
      <c r="V60" s="4"/>
      <c r="W60" s="4"/>
      <c r="X60" s="4"/>
    </row>
    <row r="61" spans="1:24" ht="25.5">
      <c r="A61" s="57" t="s">
        <v>359</v>
      </c>
      <c r="B61" s="1"/>
      <c r="C61" s="19" t="s">
        <v>256</v>
      </c>
      <c r="D61" s="14" t="s">
        <v>195</v>
      </c>
      <c r="E61" s="64">
        <f t="shared" si="3"/>
        <v>10</v>
      </c>
      <c r="F61" s="64">
        <v>10</v>
      </c>
      <c r="G61" s="24"/>
      <c r="H61" s="24"/>
      <c r="I61" s="4">
        <f t="shared" si="0"/>
        <v>0</v>
      </c>
      <c r="J61" s="4"/>
      <c r="K61" s="4"/>
      <c r="M61" s="33">
        <f t="shared" si="1"/>
        <v>0</v>
      </c>
      <c r="N61" s="33"/>
      <c r="U61" s="4"/>
      <c r="V61" s="4"/>
      <c r="W61" s="4"/>
      <c r="X61" s="4"/>
    </row>
    <row r="62" spans="1:24" ht="25.5">
      <c r="A62" s="57" t="s">
        <v>360</v>
      </c>
      <c r="B62" s="23"/>
      <c r="C62" s="28" t="s">
        <v>322</v>
      </c>
      <c r="D62" s="14" t="s">
        <v>195</v>
      </c>
      <c r="E62" s="64">
        <f t="shared" si="3"/>
        <v>45</v>
      </c>
      <c r="F62" s="30">
        <v>45</v>
      </c>
      <c r="G62" s="30"/>
      <c r="H62" s="30"/>
      <c r="M62" s="33">
        <f t="shared" si="1"/>
        <v>0</v>
      </c>
      <c r="U62" s="4"/>
      <c r="V62" s="4"/>
      <c r="W62" s="4"/>
      <c r="X62" s="4"/>
    </row>
    <row r="63" spans="1:24" ht="25.5">
      <c r="A63" s="57" t="s">
        <v>361</v>
      </c>
      <c r="B63" s="1"/>
      <c r="C63" s="16" t="s">
        <v>320</v>
      </c>
      <c r="D63" s="14" t="s">
        <v>195</v>
      </c>
      <c r="E63" s="64">
        <f t="shared" si="3"/>
        <v>5</v>
      </c>
      <c r="F63" s="64">
        <f>14-9</f>
        <v>5</v>
      </c>
      <c r="G63" s="24"/>
      <c r="H63" s="24"/>
      <c r="I63" s="4"/>
      <c r="J63" s="4"/>
      <c r="K63" s="4"/>
      <c r="M63" s="33">
        <f t="shared" si="1"/>
        <v>0</v>
      </c>
      <c r="N63" s="33"/>
      <c r="U63" s="4"/>
      <c r="V63" s="4"/>
      <c r="W63" s="4"/>
      <c r="X63" s="4"/>
    </row>
    <row r="64" spans="1:24" ht="25.5">
      <c r="A64" s="57" t="s">
        <v>362</v>
      </c>
      <c r="B64" s="1"/>
      <c r="C64" s="66" t="s">
        <v>321</v>
      </c>
      <c r="D64" s="14" t="s">
        <v>195</v>
      </c>
      <c r="E64" s="64">
        <f t="shared" si="3"/>
        <v>10</v>
      </c>
      <c r="F64" s="64">
        <f>20-10</f>
        <v>10</v>
      </c>
      <c r="G64" s="24"/>
      <c r="H64" s="24"/>
      <c r="I64" s="4"/>
      <c r="J64" s="4"/>
      <c r="K64" s="4"/>
      <c r="M64" s="33">
        <f t="shared" si="1"/>
        <v>0</v>
      </c>
      <c r="N64" s="33"/>
      <c r="U64" s="4"/>
      <c r="V64" s="4"/>
      <c r="W64" s="4"/>
      <c r="X64" s="4"/>
    </row>
    <row r="65" spans="1:24" ht="19.5" customHeight="1">
      <c r="A65" s="12">
        <v>34</v>
      </c>
      <c r="B65" s="11" t="s">
        <v>64</v>
      </c>
      <c r="C65" s="20" t="s">
        <v>65</v>
      </c>
      <c r="D65" s="10"/>
      <c r="E65" s="26">
        <f>+F65+H65</f>
        <v>513.9</v>
      </c>
      <c r="F65" s="26">
        <f>+F66+F68</f>
        <v>464.59999999999997</v>
      </c>
      <c r="G65" s="26">
        <f>+G66+G68</f>
        <v>43.2</v>
      </c>
      <c r="H65" s="26">
        <f>+H66+H68</f>
        <v>49.3</v>
      </c>
      <c r="I65" s="4">
        <f t="shared" si="0"/>
        <v>0</v>
      </c>
      <c r="J65" s="4"/>
      <c r="K65" s="4"/>
      <c r="M65" s="33">
        <f t="shared" si="1"/>
        <v>0</v>
      </c>
      <c r="N65" s="33"/>
      <c r="U65" s="4"/>
      <c r="V65" s="4"/>
      <c r="W65" s="4"/>
      <c r="X65" s="4"/>
    </row>
    <row r="66" spans="1:24" ht="25.5" customHeight="1">
      <c r="A66" s="83">
        <v>35</v>
      </c>
      <c r="B66" s="92"/>
      <c r="C66" s="16" t="s">
        <v>257</v>
      </c>
      <c r="D66" s="14" t="s">
        <v>258</v>
      </c>
      <c r="E66" s="24">
        <f>+F66+H66</f>
        <v>46.4</v>
      </c>
      <c r="F66" s="24">
        <v>46.4</v>
      </c>
      <c r="G66" s="24">
        <v>43.2</v>
      </c>
      <c r="H66" s="24"/>
      <c r="I66" s="4">
        <f t="shared" si="0"/>
        <v>0</v>
      </c>
      <c r="J66" s="4"/>
      <c r="K66" s="4"/>
      <c r="M66" s="33">
        <f t="shared" si="1"/>
        <v>0</v>
      </c>
      <c r="N66" s="33"/>
      <c r="U66" s="4"/>
      <c r="V66" s="4"/>
      <c r="W66" s="4"/>
      <c r="X66" s="4"/>
    </row>
    <row r="67" spans="1:24" ht="25.5">
      <c r="A67" s="91"/>
      <c r="B67" s="93"/>
      <c r="C67" s="39" t="s">
        <v>290</v>
      </c>
      <c r="D67" s="36" t="s">
        <v>134</v>
      </c>
      <c r="E67" s="24">
        <f aca="true" t="shared" si="4" ref="E67:E122">+F67+H67</f>
        <v>2.4</v>
      </c>
      <c r="F67" s="24">
        <v>2.4</v>
      </c>
      <c r="G67" s="24"/>
      <c r="H67" s="24"/>
      <c r="I67" s="4">
        <f t="shared" si="0"/>
        <v>0</v>
      </c>
      <c r="J67" s="4"/>
      <c r="K67" s="4"/>
      <c r="M67" s="33">
        <f t="shared" si="1"/>
        <v>0</v>
      </c>
      <c r="N67" s="33"/>
      <c r="U67" s="4"/>
      <c r="V67" s="4"/>
      <c r="W67" s="4"/>
      <c r="X67" s="4"/>
    </row>
    <row r="68" spans="1:24" ht="12.75">
      <c r="A68" s="12">
        <v>36</v>
      </c>
      <c r="B68" s="1"/>
      <c r="C68" s="18" t="s">
        <v>253</v>
      </c>
      <c r="D68" s="14"/>
      <c r="E68" s="24">
        <f>+F68+H68</f>
        <v>467.5</v>
      </c>
      <c r="F68" s="24">
        <f>+F69+F70+F71+F72+F73+F74+F75+F76+F77+F78+F79+F80+F83+F84+F81+F82</f>
        <v>418.2</v>
      </c>
      <c r="G68" s="24">
        <f>+G69+G70+G71+G72+G73+G74+G75+G76+G77+G78+G79+G80+G83+G84+G81+G82</f>
        <v>0</v>
      </c>
      <c r="H68" s="24">
        <f>+H69+H70+H71+H72+H73+H74+H75+H76+H77+H78+H79+H80+H83+H84+H81+H82</f>
        <v>49.3</v>
      </c>
      <c r="I68" s="4">
        <f t="shared" si="0"/>
        <v>0</v>
      </c>
      <c r="J68" s="4"/>
      <c r="K68" s="4"/>
      <c r="M68" s="33">
        <f t="shared" si="1"/>
        <v>0</v>
      </c>
      <c r="N68" s="33"/>
      <c r="U68" s="4"/>
      <c r="V68" s="4"/>
      <c r="W68" s="4"/>
      <c r="X68" s="4"/>
    </row>
    <row r="69" spans="1:24" ht="16.5" customHeight="1">
      <c r="A69" s="56" t="s">
        <v>220</v>
      </c>
      <c r="B69" s="1"/>
      <c r="C69" s="34" t="s">
        <v>2</v>
      </c>
      <c r="D69" s="1" t="s">
        <v>110</v>
      </c>
      <c r="E69" s="24">
        <f t="shared" si="4"/>
        <v>1</v>
      </c>
      <c r="F69" s="24">
        <v>1</v>
      </c>
      <c r="G69" s="24"/>
      <c r="H69" s="24"/>
      <c r="I69" s="4">
        <f t="shared" si="0"/>
        <v>0</v>
      </c>
      <c r="J69" s="4"/>
      <c r="K69" s="4"/>
      <c r="M69" s="33">
        <f t="shared" si="1"/>
        <v>0</v>
      </c>
      <c r="N69" s="33"/>
      <c r="U69" s="4"/>
      <c r="V69" s="4"/>
      <c r="W69" s="4"/>
      <c r="X69" s="4"/>
    </row>
    <row r="70" spans="1:24" ht="25.5">
      <c r="A70" s="57" t="s">
        <v>287</v>
      </c>
      <c r="B70" s="15"/>
      <c r="C70" s="67" t="s">
        <v>291</v>
      </c>
      <c r="D70" s="36" t="s">
        <v>134</v>
      </c>
      <c r="E70" s="24">
        <f t="shared" si="4"/>
        <v>0.3</v>
      </c>
      <c r="F70" s="24">
        <v>0.3</v>
      </c>
      <c r="G70" s="24"/>
      <c r="H70" s="24"/>
      <c r="I70" s="4">
        <f t="shared" si="0"/>
        <v>0.1</v>
      </c>
      <c r="J70" s="4">
        <v>0.1</v>
      </c>
      <c r="K70" s="4"/>
      <c r="M70" s="33">
        <f t="shared" si="1"/>
        <v>0</v>
      </c>
      <c r="N70" s="33"/>
      <c r="U70" s="4"/>
      <c r="V70" s="4"/>
      <c r="W70" s="4"/>
      <c r="X70" s="4"/>
    </row>
    <row r="71" spans="1:24" ht="42" customHeight="1">
      <c r="A71" s="56" t="s">
        <v>221</v>
      </c>
      <c r="B71" s="1"/>
      <c r="C71" s="67" t="s">
        <v>259</v>
      </c>
      <c r="D71" s="14" t="s">
        <v>66</v>
      </c>
      <c r="E71" s="24">
        <f t="shared" si="4"/>
        <v>30</v>
      </c>
      <c r="F71" s="24">
        <v>30</v>
      </c>
      <c r="G71" s="24"/>
      <c r="H71" s="24"/>
      <c r="I71" s="4">
        <f t="shared" si="0"/>
        <v>0</v>
      </c>
      <c r="J71" s="4"/>
      <c r="K71" s="4"/>
      <c r="M71" s="33">
        <f t="shared" si="1"/>
        <v>0</v>
      </c>
      <c r="N71" s="33"/>
      <c r="U71" s="4"/>
      <c r="V71" s="4"/>
      <c r="W71" s="4"/>
      <c r="X71" s="4"/>
    </row>
    <row r="72" spans="1:24" ht="30" customHeight="1">
      <c r="A72" s="56" t="s">
        <v>222</v>
      </c>
      <c r="B72" s="1"/>
      <c r="C72" s="67" t="s">
        <v>260</v>
      </c>
      <c r="D72" s="14" t="s">
        <v>67</v>
      </c>
      <c r="E72" s="24">
        <f t="shared" si="4"/>
        <v>40</v>
      </c>
      <c r="F72" s="24">
        <v>40</v>
      </c>
      <c r="G72" s="24"/>
      <c r="H72" s="24"/>
      <c r="I72" s="4">
        <f t="shared" si="0"/>
        <v>0</v>
      </c>
      <c r="J72" s="4"/>
      <c r="K72" s="4"/>
      <c r="M72" s="33">
        <f t="shared" si="1"/>
        <v>0</v>
      </c>
      <c r="N72" s="33"/>
      <c r="U72" s="4"/>
      <c r="V72" s="4"/>
      <c r="W72" s="4"/>
      <c r="X72" s="4"/>
    </row>
    <row r="73" spans="1:24" ht="25.5" customHeight="1">
      <c r="A73" s="56" t="s">
        <v>223</v>
      </c>
      <c r="B73" s="1"/>
      <c r="C73" s="67" t="s">
        <v>261</v>
      </c>
      <c r="D73" s="14" t="s">
        <v>68</v>
      </c>
      <c r="E73" s="24">
        <f t="shared" si="4"/>
        <v>15.3</v>
      </c>
      <c r="F73" s="24">
        <v>15.3</v>
      </c>
      <c r="G73" s="24"/>
      <c r="H73" s="24"/>
      <c r="I73" s="4">
        <f t="shared" si="0"/>
        <v>0</v>
      </c>
      <c r="J73" s="4"/>
      <c r="K73" s="4"/>
      <c r="M73" s="33">
        <f t="shared" si="1"/>
        <v>0</v>
      </c>
      <c r="N73" s="33"/>
      <c r="U73" s="4"/>
      <c r="V73" s="4"/>
      <c r="W73" s="4"/>
      <c r="X73" s="4"/>
    </row>
    <row r="74" spans="1:24" ht="42.75" customHeight="1">
      <c r="A74" s="56" t="s">
        <v>224</v>
      </c>
      <c r="B74" s="1"/>
      <c r="C74" s="67" t="s">
        <v>262</v>
      </c>
      <c r="D74" s="14" t="s">
        <v>67</v>
      </c>
      <c r="E74" s="24">
        <f t="shared" si="4"/>
        <v>18</v>
      </c>
      <c r="F74" s="24">
        <v>18</v>
      </c>
      <c r="G74" s="24"/>
      <c r="H74" s="24"/>
      <c r="I74" s="4">
        <f t="shared" si="0"/>
        <v>0</v>
      </c>
      <c r="J74" s="4"/>
      <c r="K74" s="4"/>
      <c r="M74" s="33">
        <f t="shared" si="1"/>
        <v>0</v>
      </c>
      <c r="N74" s="33"/>
      <c r="U74" s="4"/>
      <c r="V74" s="4"/>
      <c r="W74" s="4"/>
      <c r="X74" s="4"/>
    </row>
    <row r="75" spans="1:24" ht="40.5" customHeight="1">
      <c r="A75" s="56" t="s">
        <v>363</v>
      </c>
      <c r="B75" s="1"/>
      <c r="C75" s="67" t="s">
        <v>263</v>
      </c>
      <c r="D75" s="14" t="s">
        <v>66</v>
      </c>
      <c r="E75" s="24">
        <f t="shared" si="4"/>
        <v>18.6</v>
      </c>
      <c r="F75" s="24">
        <v>18.6</v>
      </c>
      <c r="G75" s="24"/>
      <c r="H75" s="24"/>
      <c r="I75" s="4">
        <f t="shared" si="0"/>
        <v>0</v>
      </c>
      <c r="J75" s="4"/>
      <c r="K75" s="4"/>
      <c r="M75" s="33">
        <f t="shared" si="1"/>
        <v>0</v>
      </c>
      <c r="N75" s="33"/>
      <c r="U75" s="4"/>
      <c r="V75" s="4"/>
      <c r="W75" s="4"/>
      <c r="X75" s="4"/>
    </row>
    <row r="76" spans="1:24" ht="42" customHeight="1">
      <c r="A76" s="56" t="s">
        <v>225</v>
      </c>
      <c r="B76" s="1"/>
      <c r="C76" s="67" t="s">
        <v>309</v>
      </c>
      <c r="D76" s="14" t="s">
        <v>66</v>
      </c>
      <c r="E76" s="24">
        <f t="shared" si="4"/>
        <v>42.3</v>
      </c>
      <c r="F76" s="24">
        <v>42.3</v>
      </c>
      <c r="G76" s="24"/>
      <c r="H76" s="24"/>
      <c r="I76" s="4">
        <f t="shared" si="0"/>
        <v>0</v>
      </c>
      <c r="J76" s="4"/>
      <c r="K76" s="4"/>
      <c r="M76" s="33">
        <f t="shared" si="1"/>
        <v>0</v>
      </c>
      <c r="N76" s="33"/>
      <c r="U76" s="4"/>
      <c r="V76" s="4"/>
      <c r="W76" s="4"/>
      <c r="X76" s="4"/>
    </row>
    <row r="77" spans="1:24" ht="42" customHeight="1">
      <c r="A77" s="56" t="s">
        <v>226</v>
      </c>
      <c r="B77" s="1"/>
      <c r="C77" s="67" t="s">
        <v>310</v>
      </c>
      <c r="D77" s="14" t="s">
        <v>66</v>
      </c>
      <c r="E77" s="24">
        <f t="shared" si="4"/>
        <v>10.3</v>
      </c>
      <c r="F77" s="24">
        <v>10.3</v>
      </c>
      <c r="G77" s="24"/>
      <c r="H77" s="24"/>
      <c r="I77" s="4">
        <f aca="true" t="shared" si="5" ref="I77:I142">+J77+L77</f>
        <v>0</v>
      </c>
      <c r="J77" s="4"/>
      <c r="K77" s="4"/>
      <c r="M77" s="33">
        <f aca="true" t="shared" si="6" ref="M77:M140">+N77+T77</f>
        <v>0</v>
      </c>
      <c r="N77" s="33"/>
      <c r="U77" s="4"/>
      <c r="V77" s="4"/>
      <c r="W77" s="4"/>
      <c r="X77" s="4"/>
    </row>
    <row r="78" spans="1:24" ht="45" customHeight="1">
      <c r="A78" s="56" t="s">
        <v>227</v>
      </c>
      <c r="B78" s="1"/>
      <c r="C78" s="67" t="s">
        <v>264</v>
      </c>
      <c r="D78" s="14" t="s">
        <v>134</v>
      </c>
      <c r="E78" s="24">
        <f t="shared" si="4"/>
        <v>30</v>
      </c>
      <c r="F78" s="24">
        <v>30</v>
      </c>
      <c r="G78" s="24"/>
      <c r="H78" s="24"/>
      <c r="I78" s="4">
        <f t="shared" si="5"/>
        <v>0</v>
      </c>
      <c r="J78" s="4"/>
      <c r="K78" s="4"/>
      <c r="M78" s="33">
        <f t="shared" si="6"/>
        <v>0</v>
      </c>
      <c r="N78" s="33"/>
      <c r="U78" s="4"/>
      <c r="V78" s="4"/>
      <c r="W78" s="4"/>
      <c r="X78" s="4"/>
    </row>
    <row r="79" spans="1:24" ht="45" customHeight="1">
      <c r="A79" s="56" t="s">
        <v>228</v>
      </c>
      <c r="B79" s="1"/>
      <c r="C79" s="67" t="s">
        <v>265</v>
      </c>
      <c r="D79" s="14" t="s">
        <v>68</v>
      </c>
      <c r="E79" s="24">
        <f t="shared" si="4"/>
        <v>25.8</v>
      </c>
      <c r="F79" s="24">
        <v>25.8</v>
      </c>
      <c r="G79" s="24"/>
      <c r="H79" s="24"/>
      <c r="I79" s="4">
        <f t="shared" si="5"/>
        <v>0</v>
      </c>
      <c r="J79" s="4"/>
      <c r="K79" s="4"/>
      <c r="M79" s="33">
        <f t="shared" si="6"/>
        <v>0</v>
      </c>
      <c r="N79" s="33"/>
      <c r="U79" s="4"/>
      <c r="V79" s="4"/>
      <c r="W79" s="4"/>
      <c r="X79" s="4"/>
    </row>
    <row r="80" spans="1:24" ht="45" customHeight="1">
      <c r="A80" s="56" t="s">
        <v>229</v>
      </c>
      <c r="B80" s="1"/>
      <c r="C80" s="67" t="s">
        <v>266</v>
      </c>
      <c r="D80" s="14" t="s">
        <v>284</v>
      </c>
      <c r="E80" s="24">
        <f t="shared" si="4"/>
        <v>8</v>
      </c>
      <c r="F80" s="24">
        <v>8</v>
      </c>
      <c r="G80" s="24"/>
      <c r="H80" s="24"/>
      <c r="I80" s="4">
        <f t="shared" si="5"/>
        <v>0</v>
      </c>
      <c r="J80" s="4"/>
      <c r="K80" s="4"/>
      <c r="M80" s="33">
        <f t="shared" si="6"/>
        <v>0</v>
      </c>
      <c r="N80" s="33"/>
      <c r="U80" s="4"/>
      <c r="V80" s="4"/>
      <c r="W80" s="4"/>
      <c r="X80" s="4"/>
    </row>
    <row r="81" spans="1:24" ht="38.25">
      <c r="A81" s="56" t="s">
        <v>230</v>
      </c>
      <c r="B81" s="1"/>
      <c r="C81" s="67" t="s">
        <v>323</v>
      </c>
      <c r="D81" s="14" t="s">
        <v>68</v>
      </c>
      <c r="E81" s="24">
        <f t="shared" si="4"/>
        <v>42.9</v>
      </c>
      <c r="F81" s="24">
        <v>42.9</v>
      </c>
      <c r="G81" s="24"/>
      <c r="H81" s="24"/>
      <c r="I81" s="4"/>
      <c r="J81" s="4"/>
      <c r="K81" s="4"/>
      <c r="M81" s="33">
        <f t="shared" si="6"/>
        <v>0</v>
      </c>
      <c r="N81" s="33"/>
      <c r="U81" s="4"/>
      <c r="V81" s="4"/>
      <c r="W81" s="4"/>
      <c r="X81" s="4"/>
    </row>
    <row r="82" spans="1:24" ht="38.25">
      <c r="A82" s="56" t="s">
        <v>231</v>
      </c>
      <c r="B82" s="1"/>
      <c r="C82" s="67" t="s">
        <v>429</v>
      </c>
      <c r="D82" s="14" t="s">
        <v>68</v>
      </c>
      <c r="E82" s="24">
        <f t="shared" si="4"/>
        <v>37.2</v>
      </c>
      <c r="F82" s="24">
        <v>37.2</v>
      </c>
      <c r="G82" s="24"/>
      <c r="H82" s="24"/>
      <c r="I82" s="4"/>
      <c r="J82" s="4"/>
      <c r="K82" s="4"/>
      <c r="M82" s="33">
        <f t="shared" si="6"/>
        <v>0</v>
      </c>
      <c r="N82" s="33"/>
      <c r="U82" s="4"/>
      <c r="V82" s="4"/>
      <c r="W82" s="4"/>
      <c r="X82" s="4"/>
    </row>
    <row r="83" spans="1:24" ht="29.25" customHeight="1">
      <c r="A83" s="56" t="s">
        <v>232</v>
      </c>
      <c r="B83" s="1"/>
      <c r="C83" s="67" t="s">
        <v>193</v>
      </c>
      <c r="D83" s="14" t="s">
        <v>69</v>
      </c>
      <c r="E83" s="24">
        <f t="shared" si="4"/>
        <v>56.2</v>
      </c>
      <c r="F83" s="24">
        <f>56.2-1</f>
        <v>55.2</v>
      </c>
      <c r="G83" s="24"/>
      <c r="H83" s="24">
        <v>1</v>
      </c>
      <c r="I83" s="4">
        <f t="shared" si="5"/>
        <v>0</v>
      </c>
      <c r="J83" s="4"/>
      <c r="K83" s="4"/>
      <c r="M83" s="33">
        <f t="shared" si="6"/>
        <v>0</v>
      </c>
      <c r="N83" s="33"/>
      <c r="U83" s="4"/>
      <c r="V83" s="4"/>
      <c r="W83" s="4"/>
      <c r="X83" s="4"/>
    </row>
    <row r="84" spans="1:24" ht="38.25" customHeight="1">
      <c r="A84" s="56" t="s">
        <v>364</v>
      </c>
      <c r="B84" s="1"/>
      <c r="C84" s="37" t="s">
        <v>318</v>
      </c>
      <c r="D84" s="14"/>
      <c r="E84" s="60">
        <f t="shared" si="4"/>
        <v>91.6</v>
      </c>
      <c r="F84" s="60">
        <f>+F85+F86</f>
        <v>43.3</v>
      </c>
      <c r="G84" s="60">
        <f>+G85+G86</f>
        <v>0</v>
      </c>
      <c r="H84" s="60">
        <f>+H85+H86</f>
        <v>48.3</v>
      </c>
      <c r="I84" s="4">
        <f t="shared" si="5"/>
        <v>0</v>
      </c>
      <c r="J84" s="4"/>
      <c r="K84" s="4"/>
      <c r="M84" s="33">
        <f t="shared" si="6"/>
        <v>0</v>
      </c>
      <c r="N84" s="33"/>
      <c r="U84" s="4"/>
      <c r="V84" s="4"/>
      <c r="W84" s="4"/>
      <c r="X84" s="4"/>
    </row>
    <row r="85" spans="1:24" ht="38.25">
      <c r="A85" s="56" t="s">
        <v>365</v>
      </c>
      <c r="B85" s="15"/>
      <c r="C85" s="38" t="s">
        <v>267</v>
      </c>
      <c r="D85" s="36" t="s">
        <v>68</v>
      </c>
      <c r="E85" s="24">
        <f t="shared" si="4"/>
        <v>36.3</v>
      </c>
      <c r="F85" s="24">
        <v>36.3</v>
      </c>
      <c r="G85" s="24"/>
      <c r="H85" s="24"/>
      <c r="I85" s="4">
        <f t="shared" si="5"/>
        <v>-16</v>
      </c>
      <c r="J85" s="4">
        <v>-16</v>
      </c>
      <c r="K85" s="4"/>
      <c r="M85" s="33">
        <f t="shared" si="6"/>
        <v>0</v>
      </c>
      <c r="N85" s="33"/>
      <c r="U85" s="4"/>
      <c r="V85" s="4"/>
      <c r="W85" s="4"/>
      <c r="X85" s="4"/>
    </row>
    <row r="86" spans="1:24" ht="38.25">
      <c r="A86" s="57" t="s">
        <v>366</v>
      </c>
      <c r="B86" s="15"/>
      <c r="C86" s="38" t="s">
        <v>176</v>
      </c>
      <c r="D86" s="36" t="s">
        <v>284</v>
      </c>
      <c r="E86" s="24">
        <f t="shared" si="4"/>
        <v>55.3</v>
      </c>
      <c r="F86" s="24">
        <v>7</v>
      </c>
      <c r="G86" s="24"/>
      <c r="H86" s="24">
        <v>48.3</v>
      </c>
      <c r="I86" s="4">
        <f t="shared" si="5"/>
        <v>0</v>
      </c>
      <c r="J86" s="4"/>
      <c r="K86" s="4"/>
      <c r="L86" s="4"/>
      <c r="M86" s="33">
        <f t="shared" si="6"/>
        <v>0</v>
      </c>
      <c r="N86" s="33"/>
      <c r="U86" s="4"/>
      <c r="V86" s="4"/>
      <c r="W86" s="4"/>
      <c r="X86" s="4"/>
    </row>
    <row r="87" spans="1:24" ht="21.75" customHeight="1">
      <c r="A87" s="12">
        <v>37</v>
      </c>
      <c r="B87" s="11" t="s">
        <v>22</v>
      </c>
      <c r="C87" s="20" t="s">
        <v>23</v>
      </c>
      <c r="D87" s="10"/>
      <c r="E87" s="26">
        <f t="shared" si="4"/>
        <v>6482.9</v>
      </c>
      <c r="F87" s="26">
        <f>+F88+F91+F92+F93+F94+F95+F112+F113+F114+F115+F116+F117+F118+F119+F120+F121+F122</f>
        <v>6107.5</v>
      </c>
      <c r="G87" s="26">
        <f>+G88+G91+G92+G93+G94+G95+G112+G113+G114+G115+G116+G117+G118+G119+G120+G121+G122</f>
        <v>1981.6</v>
      </c>
      <c r="H87" s="26">
        <f>+H88+H91+H92+H93+H94+H95+H112+H113+H114+H115+H116+H117+H118+H119+H120+H121+H122</f>
        <v>375.4</v>
      </c>
      <c r="I87" s="4">
        <f t="shared" si="5"/>
        <v>0</v>
      </c>
      <c r="J87" s="4"/>
      <c r="K87" s="4"/>
      <c r="M87" s="33">
        <f t="shared" si="6"/>
        <v>0</v>
      </c>
      <c r="N87" s="33"/>
      <c r="U87" s="4"/>
      <c r="V87" s="4"/>
      <c r="W87" s="4"/>
      <c r="X87" s="4"/>
    </row>
    <row r="88" spans="1:24" ht="15" customHeight="1">
      <c r="A88" s="95">
        <v>38</v>
      </c>
      <c r="B88" s="94"/>
      <c r="C88" s="34" t="s">
        <v>0</v>
      </c>
      <c r="D88" s="80" t="s">
        <v>70</v>
      </c>
      <c r="E88" s="24">
        <f t="shared" si="4"/>
        <v>714.5</v>
      </c>
      <c r="F88" s="24">
        <f>684.5+30</f>
        <v>714.5</v>
      </c>
      <c r="G88" s="24">
        <v>480.7</v>
      </c>
      <c r="H88" s="24"/>
      <c r="I88" s="4">
        <f t="shared" si="5"/>
        <v>0</v>
      </c>
      <c r="J88" s="4">
        <v>-0.8</v>
      </c>
      <c r="K88" s="4"/>
      <c r="L88" s="2">
        <v>0.8</v>
      </c>
      <c r="M88" s="33">
        <f t="shared" si="6"/>
        <v>0</v>
      </c>
      <c r="N88" s="33"/>
      <c r="U88" s="4"/>
      <c r="V88" s="4"/>
      <c r="W88" s="4"/>
      <c r="X88" s="4"/>
    </row>
    <row r="89" spans="1:24" ht="15" customHeight="1">
      <c r="A89" s="95"/>
      <c r="B89" s="94"/>
      <c r="C89" s="21" t="s">
        <v>324</v>
      </c>
      <c r="D89" s="81"/>
      <c r="E89" s="24">
        <f t="shared" si="4"/>
        <v>193.4</v>
      </c>
      <c r="F89" s="24">
        <f>163.4+30</f>
        <v>193.4</v>
      </c>
      <c r="G89" s="24"/>
      <c r="H89" s="24"/>
      <c r="I89" s="4">
        <f t="shared" si="5"/>
        <v>0</v>
      </c>
      <c r="J89" s="4"/>
      <c r="K89" s="4"/>
      <c r="M89" s="33">
        <f t="shared" si="6"/>
        <v>30</v>
      </c>
      <c r="N89" s="33">
        <v>30</v>
      </c>
      <c r="U89" s="4"/>
      <c r="V89" s="4"/>
      <c r="W89" s="4"/>
      <c r="X89" s="4"/>
    </row>
    <row r="90" spans="1:24" ht="25.5">
      <c r="A90" s="95"/>
      <c r="B90" s="94"/>
      <c r="C90" s="22" t="s">
        <v>292</v>
      </c>
      <c r="D90" s="82"/>
      <c r="E90" s="24">
        <f t="shared" si="4"/>
        <v>1</v>
      </c>
      <c r="F90" s="24">
        <v>1</v>
      </c>
      <c r="G90" s="24"/>
      <c r="H90" s="24"/>
      <c r="I90" s="4">
        <f t="shared" si="5"/>
        <v>0</v>
      </c>
      <c r="J90" s="4"/>
      <c r="K90" s="4"/>
      <c r="M90" s="33">
        <f t="shared" si="6"/>
        <v>0</v>
      </c>
      <c r="N90" s="33"/>
      <c r="U90" s="4"/>
      <c r="V90" s="4"/>
      <c r="W90" s="4"/>
      <c r="X90" s="4"/>
    </row>
    <row r="91" spans="1:24" ht="15" customHeight="1">
      <c r="A91" s="12">
        <v>39</v>
      </c>
      <c r="B91" s="1"/>
      <c r="C91" s="68" t="s">
        <v>1</v>
      </c>
      <c r="D91" s="69" t="s">
        <v>71</v>
      </c>
      <c r="E91" s="24">
        <f t="shared" si="4"/>
        <v>194.7</v>
      </c>
      <c r="F91" s="24">
        <v>194.7</v>
      </c>
      <c r="G91" s="24">
        <v>150.3</v>
      </c>
      <c r="H91" s="24"/>
      <c r="I91" s="4">
        <f t="shared" si="5"/>
        <v>12.3</v>
      </c>
      <c r="J91" s="4">
        <v>12.3</v>
      </c>
      <c r="K91" s="4">
        <v>12.1</v>
      </c>
      <c r="M91" s="33">
        <f t="shared" si="6"/>
        <v>0</v>
      </c>
      <c r="N91" s="33"/>
      <c r="U91" s="4"/>
      <c r="V91" s="4"/>
      <c r="W91" s="4"/>
      <c r="X91" s="4"/>
    </row>
    <row r="92" spans="1:24" ht="15" customHeight="1">
      <c r="A92" s="12">
        <v>40</v>
      </c>
      <c r="B92" s="1"/>
      <c r="C92" s="65" t="s">
        <v>14</v>
      </c>
      <c r="D92" s="14" t="s">
        <v>103</v>
      </c>
      <c r="E92" s="24">
        <f t="shared" si="4"/>
        <v>132.1</v>
      </c>
      <c r="F92" s="24">
        <v>132.1</v>
      </c>
      <c r="G92" s="30">
        <v>114.8</v>
      </c>
      <c r="H92" s="24"/>
      <c r="I92" s="4">
        <f t="shared" si="5"/>
        <v>0</v>
      </c>
      <c r="J92" s="4"/>
      <c r="K92" s="4">
        <v>2</v>
      </c>
      <c r="M92" s="33">
        <f t="shared" si="6"/>
        <v>0</v>
      </c>
      <c r="N92" s="33"/>
      <c r="U92" s="4"/>
      <c r="V92" s="4"/>
      <c r="W92" s="4"/>
      <c r="X92" s="4"/>
    </row>
    <row r="93" spans="1:24" ht="15" customHeight="1">
      <c r="A93" s="12">
        <v>41</v>
      </c>
      <c r="B93" s="1"/>
      <c r="C93" s="65" t="s">
        <v>20</v>
      </c>
      <c r="D93" s="29" t="s">
        <v>71</v>
      </c>
      <c r="E93" s="24">
        <f t="shared" si="4"/>
        <v>243.8</v>
      </c>
      <c r="F93" s="24">
        <v>243.8</v>
      </c>
      <c r="G93" s="24">
        <v>204</v>
      </c>
      <c r="H93" s="24"/>
      <c r="I93" s="4">
        <f t="shared" si="5"/>
        <v>0</v>
      </c>
      <c r="J93" s="4"/>
      <c r="K93" s="4"/>
      <c r="M93" s="33">
        <f t="shared" si="6"/>
        <v>0</v>
      </c>
      <c r="N93" s="33"/>
      <c r="U93" s="4"/>
      <c r="V93" s="4"/>
      <c r="W93" s="4"/>
      <c r="X93" s="4"/>
    </row>
    <row r="94" spans="1:24" ht="15" customHeight="1">
      <c r="A94" s="12">
        <v>42</v>
      </c>
      <c r="B94" s="1"/>
      <c r="C94" s="34" t="s">
        <v>171</v>
      </c>
      <c r="D94" s="69" t="s">
        <v>24</v>
      </c>
      <c r="E94" s="24">
        <f t="shared" si="4"/>
        <v>945.1999999999999</v>
      </c>
      <c r="F94" s="24">
        <v>927.3</v>
      </c>
      <c r="G94" s="24">
        <v>666.2</v>
      </c>
      <c r="H94" s="24">
        <v>17.9</v>
      </c>
      <c r="I94" s="4">
        <f t="shared" si="5"/>
        <v>0.7</v>
      </c>
      <c r="J94" s="4">
        <v>0.7</v>
      </c>
      <c r="K94" s="4"/>
      <c r="L94" s="4"/>
      <c r="M94" s="33">
        <f t="shared" si="6"/>
        <v>0</v>
      </c>
      <c r="N94" s="33"/>
      <c r="U94" s="4"/>
      <c r="V94" s="4"/>
      <c r="W94" s="4"/>
      <c r="X94" s="4"/>
    </row>
    <row r="95" spans="1:24" ht="15" customHeight="1">
      <c r="A95" s="12">
        <v>43</v>
      </c>
      <c r="B95" s="1"/>
      <c r="C95" s="18" t="s">
        <v>253</v>
      </c>
      <c r="D95" s="1"/>
      <c r="E95" s="64">
        <f t="shared" si="4"/>
        <v>2459</v>
      </c>
      <c r="F95" s="64">
        <f>+F96+F97+F98+F100+F101+F102+F103+F99+F104+F105+F106</f>
        <v>2101.5</v>
      </c>
      <c r="G95" s="64">
        <f>+G96+G97+G98+G100+G101+G102+G103+G99+G104+G106</f>
        <v>59.1</v>
      </c>
      <c r="H95" s="64">
        <f>+H96+H97+H98+H100+H101+H102+H103+H99+H104+H106</f>
        <v>357.5</v>
      </c>
      <c r="I95" s="4">
        <f t="shared" si="5"/>
        <v>0</v>
      </c>
      <c r="J95" s="4"/>
      <c r="K95" s="4"/>
      <c r="M95" s="33">
        <f t="shared" si="6"/>
        <v>0</v>
      </c>
      <c r="N95" s="33"/>
      <c r="U95" s="4"/>
      <c r="V95" s="4"/>
      <c r="W95" s="4"/>
      <c r="X95" s="4"/>
    </row>
    <row r="96" spans="1:24" ht="72.75" customHeight="1">
      <c r="A96" s="56" t="s">
        <v>233</v>
      </c>
      <c r="B96" s="1"/>
      <c r="C96" s="18" t="s">
        <v>2</v>
      </c>
      <c r="D96" s="52" t="s">
        <v>156</v>
      </c>
      <c r="E96" s="24">
        <f t="shared" si="4"/>
        <v>941.5</v>
      </c>
      <c r="F96" s="24">
        <v>941.5</v>
      </c>
      <c r="G96" s="24">
        <v>59.1</v>
      </c>
      <c r="H96" s="24"/>
      <c r="I96" s="4">
        <f t="shared" si="5"/>
        <v>-7.6</v>
      </c>
      <c r="J96" s="4">
        <v>-7.6</v>
      </c>
      <c r="K96" s="4">
        <v>2.4</v>
      </c>
      <c r="M96" s="33">
        <f t="shared" si="6"/>
        <v>0</v>
      </c>
      <c r="N96" s="33"/>
      <c r="U96" s="4"/>
      <c r="V96" s="4"/>
      <c r="W96" s="4"/>
      <c r="X96" s="4"/>
    </row>
    <row r="97" spans="1:24" ht="27" customHeight="1">
      <c r="A97" s="56" t="s">
        <v>234</v>
      </c>
      <c r="B97" s="1"/>
      <c r="C97" s="19" t="s">
        <v>161</v>
      </c>
      <c r="D97" s="70" t="s">
        <v>72</v>
      </c>
      <c r="E97" s="24">
        <f t="shared" si="4"/>
        <v>50</v>
      </c>
      <c r="F97" s="24">
        <v>50</v>
      </c>
      <c r="G97" s="24"/>
      <c r="H97" s="24"/>
      <c r="I97" s="4">
        <f t="shared" si="5"/>
        <v>0</v>
      </c>
      <c r="J97" s="4"/>
      <c r="K97" s="4"/>
      <c r="M97" s="33">
        <f t="shared" si="6"/>
        <v>0</v>
      </c>
      <c r="N97" s="33"/>
      <c r="U97" s="4"/>
      <c r="V97" s="4"/>
      <c r="W97" s="4"/>
      <c r="X97" s="4"/>
    </row>
    <row r="98" spans="1:24" ht="26.25" customHeight="1">
      <c r="A98" s="56" t="s">
        <v>235</v>
      </c>
      <c r="B98" s="1"/>
      <c r="C98" s="67" t="s">
        <v>162</v>
      </c>
      <c r="D98" s="70" t="s">
        <v>72</v>
      </c>
      <c r="E98" s="24">
        <f t="shared" si="4"/>
        <v>71</v>
      </c>
      <c r="F98" s="24">
        <v>71</v>
      </c>
      <c r="G98" s="24"/>
      <c r="H98" s="24"/>
      <c r="I98" s="4">
        <f t="shared" si="5"/>
        <v>0</v>
      </c>
      <c r="J98" s="4"/>
      <c r="K98" s="4"/>
      <c r="M98" s="33">
        <f t="shared" si="6"/>
        <v>0</v>
      </c>
      <c r="N98" s="33"/>
      <c r="U98" s="4"/>
      <c r="V98" s="4"/>
      <c r="W98" s="4"/>
      <c r="X98" s="4"/>
    </row>
    <row r="99" spans="1:24" ht="28.5" customHeight="1">
      <c r="A99" s="56" t="s">
        <v>236</v>
      </c>
      <c r="B99" s="1"/>
      <c r="C99" s="28" t="s">
        <v>165</v>
      </c>
      <c r="D99" s="1" t="s">
        <v>107</v>
      </c>
      <c r="E99" s="30">
        <f>+F99+H99</f>
        <v>15.1</v>
      </c>
      <c r="F99" s="30">
        <v>15.1</v>
      </c>
      <c r="G99" s="30"/>
      <c r="H99" s="30"/>
      <c r="I99" s="4">
        <f>+J99+L99</f>
        <v>0</v>
      </c>
      <c r="J99" s="4"/>
      <c r="K99" s="4"/>
      <c r="M99" s="33">
        <f t="shared" si="6"/>
        <v>0</v>
      </c>
      <c r="N99" s="33"/>
      <c r="U99" s="4"/>
      <c r="V99" s="4"/>
      <c r="W99" s="4"/>
      <c r="X99" s="4"/>
    </row>
    <row r="100" spans="1:24" ht="15" customHeight="1">
      <c r="A100" s="56" t="s">
        <v>237</v>
      </c>
      <c r="B100" s="1"/>
      <c r="C100" s="28" t="s">
        <v>163</v>
      </c>
      <c r="D100" s="69" t="s">
        <v>73</v>
      </c>
      <c r="E100" s="24">
        <f t="shared" si="4"/>
        <v>52</v>
      </c>
      <c r="F100" s="24">
        <v>52</v>
      </c>
      <c r="G100" s="24"/>
      <c r="H100" s="24"/>
      <c r="I100" s="4">
        <f t="shared" si="5"/>
        <v>0</v>
      </c>
      <c r="J100" s="4"/>
      <c r="K100" s="4"/>
      <c r="M100" s="33">
        <f t="shared" si="6"/>
        <v>0</v>
      </c>
      <c r="N100" s="33"/>
      <c r="U100" s="4"/>
      <c r="V100" s="4"/>
      <c r="W100" s="4"/>
      <c r="X100" s="4"/>
    </row>
    <row r="101" spans="1:24" ht="26.25" customHeight="1">
      <c r="A101" s="56" t="s">
        <v>238</v>
      </c>
      <c r="B101" s="1"/>
      <c r="C101" s="28" t="s">
        <v>299</v>
      </c>
      <c r="D101" s="70" t="s">
        <v>73</v>
      </c>
      <c r="E101" s="24">
        <f t="shared" si="4"/>
        <v>125</v>
      </c>
      <c r="F101" s="24">
        <v>125</v>
      </c>
      <c r="G101" s="24"/>
      <c r="H101" s="24"/>
      <c r="I101" s="4">
        <f t="shared" si="5"/>
        <v>0</v>
      </c>
      <c r="J101" s="4"/>
      <c r="K101" s="4"/>
      <c r="M101" s="33">
        <f t="shared" si="6"/>
        <v>0</v>
      </c>
      <c r="N101" s="33"/>
      <c r="U101" s="4"/>
      <c r="V101" s="4"/>
      <c r="W101" s="4"/>
      <c r="X101" s="4"/>
    </row>
    <row r="102" spans="1:24" ht="39" customHeight="1">
      <c r="A102" s="56" t="s">
        <v>239</v>
      </c>
      <c r="B102" s="1"/>
      <c r="C102" s="28" t="s">
        <v>164</v>
      </c>
      <c r="D102" s="70" t="s">
        <v>74</v>
      </c>
      <c r="E102" s="30">
        <f t="shared" si="4"/>
        <v>650</v>
      </c>
      <c r="F102" s="30">
        <f>700-50</f>
        <v>650</v>
      </c>
      <c r="G102" s="30"/>
      <c r="H102" s="30"/>
      <c r="I102" s="4">
        <f t="shared" si="5"/>
        <v>0</v>
      </c>
      <c r="J102" s="4"/>
      <c r="K102" s="4"/>
      <c r="M102" s="33">
        <f t="shared" si="6"/>
        <v>-50</v>
      </c>
      <c r="N102" s="33">
        <v>-50</v>
      </c>
      <c r="U102" s="4"/>
      <c r="V102" s="4"/>
      <c r="W102" s="4"/>
      <c r="X102" s="4"/>
    </row>
    <row r="103" spans="1:24" ht="28.5" customHeight="1">
      <c r="A103" s="56" t="s">
        <v>240</v>
      </c>
      <c r="B103" s="1"/>
      <c r="C103" s="28" t="s">
        <v>209</v>
      </c>
      <c r="D103" s="1" t="s">
        <v>75</v>
      </c>
      <c r="E103" s="30">
        <f t="shared" si="4"/>
        <v>44</v>
      </c>
      <c r="F103" s="30">
        <v>44</v>
      </c>
      <c r="G103" s="30"/>
      <c r="H103" s="30"/>
      <c r="I103" s="4">
        <f t="shared" si="5"/>
        <v>0</v>
      </c>
      <c r="J103" s="4"/>
      <c r="K103" s="4"/>
      <c r="M103" s="33">
        <f t="shared" si="6"/>
        <v>0</v>
      </c>
      <c r="N103" s="33"/>
      <c r="U103" s="4"/>
      <c r="V103" s="4"/>
      <c r="W103" s="4"/>
      <c r="X103" s="4"/>
    </row>
    <row r="104" spans="1:24" ht="28.5" customHeight="1">
      <c r="A104" s="56" t="s">
        <v>241</v>
      </c>
      <c r="B104" s="1"/>
      <c r="C104" s="28" t="s">
        <v>297</v>
      </c>
      <c r="D104" s="1" t="s">
        <v>25</v>
      </c>
      <c r="E104" s="30">
        <f t="shared" si="4"/>
        <v>5</v>
      </c>
      <c r="F104" s="30">
        <v>5</v>
      </c>
      <c r="G104" s="30"/>
      <c r="H104" s="30"/>
      <c r="I104" s="4">
        <f t="shared" si="5"/>
        <v>0</v>
      </c>
      <c r="J104" s="4"/>
      <c r="K104" s="4"/>
      <c r="M104" s="33">
        <f t="shared" si="6"/>
        <v>0</v>
      </c>
      <c r="N104" s="33"/>
      <c r="U104" s="4"/>
      <c r="V104" s="4"/>
      <c r="W104" s="4"/>
      <c r="X104" s="4"/>
    </row>
    <row r="105" spans="1:24" ht="12.75">
      <c r="A105" s="56" t="s">
        <v>242</v>
      </c>
      <c r="B105" s="1"/>
      <c r="C105" s="28" t="s">
        <v>325</v>
      </c>
      <c r="D105" s="69" t="s">
        <v>24</v>
      </c>
      <c r="E105" s="30">
        <f t="shared" si="4"/>
        <v>33.4</v>
      </c>
      <c r="F105" s="30">
        <v>33.4</v>
      </c>
      <c r="G105" s="30"/>
      <c r="H105" s="30"/>
      <c r="I105" s="4"/>
      <c r="J105" s="4"/>
      <c r="K105" s="4"/>
      <c r="M105" s="33">
        <f t="shared" si="6"/>
        <v>0</v>
      </c>
      <c r="N105" s="33"/>
      <c r="U105" s="4"/>
      <c r="V105" s="4"/>
      <c r="W105" s="4"/>
      <c r="X105" s="4"/>
    </row>
    <row r="106" spans="1:24" ht="39" customHeight="1">
      <c r="A106" s="56" t="s">
        <v>367</v>
      </c>
      <c r="B106" s="1"/>
      <c r="C106" s="37" t="s">
        <v>318</v>
      </c>
      <c r="D106" s="11"/>
      <c r="E106" s="59">
        <f t="shared" si="4"/>
        <v>472</v>
      </c>
      <c r="F106" s="59">
        <f>+F109+F110+F107+F108+F111</f>
        <v>114.5</v>
      </c>
      <c r="G106" s="59">
        <f>+G109+G110+G107+G108+G111</f>
        <v>0</v>
      </c>
      <c r="H106" s="59">
        <f>+H109+H110+H107+H108+H111</f>
        <v>357.5</v>
      </c>
      <c r="I106" s="4">
        <f t="shared" si="5"/>
        <v>0</v>
      </c>
      <c r="J106" s="4"/>
      <c r="K106" s="4"/>
      <c r="M106" s="33">
        <f t="shared" si="6"/>
        <v>0</v>
      </c>
      <c r="N106" s="33"/>
      <c r="U106" s="4"/>
      <c r="V106" s="4"/>
      <c r="W106" s="4"/>
      <c r="X106" s="4"/>
    </row>
    <row r="107" spans="1:24" ht="15" customHeight="1">
      <c r="A107" s="57" t="s">
        <v>368</v>
      </c>
      <c r="B107" s="15"/>
      <c r="C107" s="28" t="s">
        <v>177</v>
      </c>
      <c r="D107" s="15" t="s">
        <v>88</v>
      </c>
      <c r="E107" s="30">
        <f t="shared" si="4"/>
        <v>150</v>
      </c>
      <c r="F107" s="30">
        <v>1</v>
      </c>
      <c r="G107" s="30"/>
      <c r="H107" s="30">
        <v>149</v>
      </c>
      <c r="I107" s="4">
        <f>+J107+L107</f>
        <v>3.1</v>
      </c>
      <c r="J107" s="4">
        <v>-0.5</v>
      </c>
      <c r="K107" s="4"/>
      <c r="L107" s="2">
        <f>3.1+0.5</f>
        <v>3.6</v>
      </c>
      <c r="M107" s="33">
        <f t="shared" si="6"/>
        <v>0</v>
      </c>
      <c r="N107" s="33"/>
      <c r="U107" s="4"/>
      <c r="V107" s="4"/>
      <c r="W107" s="4"/>
      <c r="X107" s="4"/>
    </row>
    <row r="108" spans="1:24" ht="29.25" customHeight="1">
      <c r="A108" s="56" t="s">
        <v>369</v>
      </c>
      <c r="B108" s="15"/>
      <c r="C108" s="28" t="s">
        <v>173</v>
      </c>
      <c r="D108" s="15" t="s">
        <v>71</v>
      </c>
      <c r="E108" s="30">
        <f t="shared" si="4"/>
        <v>217</v>
      </c>
      <c r="F108" s="30">
        <v>8.5</v>
      </c>
      <c r="G108" s="30"/>
      <c r="H108" s="30">
        <v>208.5</v>
      </c>
      <c r="I108" s="4">
        <f>+J108+L108</f>
        <v>0</v>
      </c>
      <c r="J108" s="4"/>
      <c r="K108" s="4"/>
      <c r="M108" s="33">
        <f t="shared" si="6"/>
        <v>0</v>
      </c>
      <c r="N108" s="33"/>
      <c r="U108" s="4"/>
      <c r="V108" s="4"/>
      <c r="W108" s="4"/>
      <c r="X108" s="4"/>
    </row>
    <row r="109" spans="1:24" ht="25.5">
      <c r="A109" s="57" t="s">
        <v>370</v>
      </c>
      <c r="B109" s="1"/>
      <c r="C109" s="28" t="s">
        <v>185</v>
      </c>
      <c r="D109" s="14" t="s">
        <v>285</v>
      </c>
      <c r="E109" s="30">
        <f t="shared" si="4"/>
        <v>70</v>
      </c>
      <c r="F109" s="30">
        <v>70</v>
      </c>
      <c r="G109" s="30"/>
      <c r="H109" s="30"/>
      <c r="I109" s="4">
        <f>+J109+L109</f>
        <v>0</v>
      </c>
      <c r="J109" s="4"/>
      <c r="K109" s="4"/>
      <c r="M109" s="33">
        <f t="shared" si="6"/>
        <v>0</v>
      </c>
      <c r="N109" s="33"/>
      <c r="U109" s="4"/>
      <c r="V109" s="4"/>
      <c r="W109" s="4"/>
      <c r="X109" s="4"/>
    </row>
    <row r="110" spans="1:24" ht="25.5">
      <c r="A110" s="56" t="s">
        <v>371</v>
      </c>
      <c r="B110" s="1"/>
      <c r="C110" s="28" t="s">
        <v>326</v>
      </c>
      <c r="D110" s="1" t="s">
        <v>75</v>
      </c>
      <c r="E110" s="30">
        <f t="shared" si="4"/>
        <v>30</v>
      </c>
      <c r="F110" s="30">
        <v>30</v>
      </c>
      <c r="G110" s="30"/>
      <c r="H110" s="30"/>
      <c r="I110" s="4">
        <f t="shared" si="5"/>
        <v>0</v>
      </c>
      <c r="J110" s="4"/>
      <c r="K110" s="4"/>
      <c r="M110" s="33">
        <f t="shared" si="6"/>
        <v>0</v>
      </c>
      <c r="N110" s="33"/>
      <c r="U110" s="4"/>
      <c r="V110" s="4"/>
      <c r="W110" s="4"/>
      <c r="X110" s="4"/>
    </row>
    <row r="111" spans="1:24" ht="29.25" customHeight="1">
      <c r="A111" s="57" t="s">
        <v>372</v>
      </c>
      <c r="B111" s="15"/>
      <c r="C111" s="28" t="s">
        <v>327</v>
      </c>
      <c r="D111" s="15" t="s">
        <v>308</v>
      </c>
      <c r="E111" s="30">
        <f t="shared" si="4"/>
        <v>5</v>
      </c>
      <c r="F111" s="30">
        <v>5</v>
      </c>
      <c r="G111" s="30"/>
      <c r="H111" s="30"/>
      <c r="I111" s="4">
        <f t="shared" si="5"/>
        <v>0</v>
      </c>
      <c r="J111" s="4"/>
      <c r="K111" s="4"/>
      <c r="M111" s="33">
        <f t="shared" si="6"/>
        <v>0</v>
      </c>
      <c r="N111" s="33"/>
      <c r="U111" s="4"/>
      <c r="V111" s="4"/>
      <c r="W111" s="4"/>
      <c r="X111" s="4"/>
    </row>
    <row r="112" spans="1:24" ht="38.25" customHeight="1">
      <c r="A112" s="12">
        <v>44</v>
      </c>
      <c r="B112" s="1"/>
      <c r="C112" s="16" t="s">
        <v>7</v>
      </c>
      <c r="D112" s="14" t="s">
        <v>114</v>
      </c>
      <c r="E112" s="24">
        <f t="shared" si="4"/>
        <v>666.8</v>
      </c>
      <c r="F112" s="24">
        <v>666.8</v>
      </c>
      <c r="G112" s="24">
        <v>80.5</v>
      </c>
      <c r="H112" s="24"/>
      <c r="I112" s="4">
        <f t="shared" si="5"/>
        <v>5.4</v>
      </c>
      <c r="J112" s="4">
        <f>3.5+1.9</f>
        <v>5.4</v>
      </c>
      <c r="K112" s="4">
        <f>3.4+1.9</f>
        <v>5.3</v>
      </c>
      <c r="M112" s="33">
        <f t="shared" si="6"/>
        <v>0</v>
      </c>
      <c r="N112" s="33"/>
      <c r="U112" s="4"/>
      <c r="V112" s="4"/>
      <c r="W112" s="4"/>
      <c r="X112" s="4"/>
    </row>
    <row r="113" spans="1:24" ht="38.25" customHeight="1">
      <c r="A113" s="12">
        <v>45</v>
      </c>
      <c r="B113" s="1"/>
      <c r="C113" s="16" t="s">
        <v>3</v>
      </c>
      <c r="D113" s="14" t="s">
        <v>147</v>
      </c>
      <c r="E113" s="24">
        <f t="shared" si="4"/>
        <v>222.7</v>
      </c>
      <c r="F113" s="24">
        <v>222.7</v>
      </c>
      <c r="G113" s="24">
        <v>22.1</v>
      </c>
      <c r="H113" s="24"/>
      <c r="I113" s="4">
        <f t="shared" si="5"/>
        <v>-3.7</v>
      </c>
      <c r="J113" s="4">
        <v>-3.7</v>
      </c>
      <c r="K113" s="4">
        <v>-2.3</v>
      </c>
      <c r="M113" s="33">
        <f t="shared" si="6"/>
        <v>0</v>
      </c>
      <c r="N113" s="33"/>
      <c r="U113" s="4"/>
      <c r="V113" s="4"/>
      <c r="W113" s="4"/>
      <c r="X113" s="4"/>
    </row>
    <row r="114" spans="1:24" ht="39.75" customHeight="1">
      <c r="A114" s="12">
        <v>46</v>
      </c>
      <c r="B114" s="1"/>
      <c r="C114" s="16" t="s">
        <v>4</v>
      </c>
      <c r="D114" s="14" t="s">
        <v>114</v>
      </c>
      <c r="E114" s="24">
        <f t="shared" si="4"/>
        <v>133.2</v>
      </c>
      <c r="F114" s="24">
        <v>133.2</v>
      </c>
      <c r="G114" s="24">
        <v>26</v>
      </c>
      <c r="H114" s="24"/>
      <c r="I114" s="4">
        <f t="shared" si="5"/>
        <v>-2.8</v>
      </c>
      <c r="J114" s="4">
        <v>-2.8</v>
      </c>
      <c r="K114" s="4">
        <v>-2.8</v>
      </c>
      <c r="M114" s="33">
        <f t="shared" si="6"/>
        <v>0</v>
      </c>
      <c r="N114" s="33"/>
      <c r="U114" s="4"/>
      <c r="V114" s="4"/>
      <c r="W114" s="4"/>
      <c r="X114" s="4"/>
    </row>
    <row r="115" spans="1:24" ht="39.75" customHeight="1">
      <c r="A115" s="12">
        <v>47</v>
      </c>
      <c r="B115" s="1"/>
      <c r="C115" s="16" t="s">
        <v>6</v>
      </c>
      <c r="D115" s="14" t="s">
        <v>114</v>
      </c>
      <c r="E115" s="24">
        <f t="shared" si="4"/>
        <v>67.2</v>
      </c>
      <c r="F115" s="24">
        <v>67.2</v>
      </c>
      <c r="G115" s="24">
        <v>20.7</v>
      </c>
      <c r="H115" s="24"/>
      <c r="I115" s="4">
        <f t="shared" si="5"/>
        <v>-2.6</v>
      </c>
      <c r="J115" s="4">
        <v>-2.6</v>
      </c>
      <c r="K115" s="4">
        <v>-2.6</v>
      </c>
      <c r="M115" s="33">
        <f t="shared" si="6"/>
        <v>0</v>
      </c>
      <c r="N115" s="33"/>
      <c r="U115" s="4"/>
      <c r="V115" s="4"/>
      <c r="W115" s="4"/>
      <c r="X115" s="4"/>
    </row>
    <row r="116" spans="1:24" ht="39.75" customHeight="1">
      <c r="A116" s="12">
        <v>48</v>
      </c>
      <c r="B116" s="1"/>
      <c r="C116" s="16" t="s">
        <v>5</v>
      </c>
      <c r="D116" s="14" t="s">
        <v>114</v>
      </c>
      <c r="E116" s="24">
        <f t="shared" si="4"/>
        <v>167.3</v>
      </c>
      <c r="F116" s="24">
        <v>167.3</v>
      </c>
      <c r="G116" s="24">
        <v>36</v>
      </c>
      <c r="H116" s="24"/>
      <c r="I116" s="4">
        <f t="shared" si="5"/>
        <v>1.1</v>
      </c>
      <c r="J116" s="4">
        <f>-0.8+1.1+0.8</f>
        <v>1.1</v>
      </c>
      <c r="K116" s="4">
        <f>-0.9+1.1+0.1</f>
        <v>0.30000000000000004</v>
      </c>
      <c r="M116" s="33">
        <f t="shared" si="6"/>
        <v>0</v>
      </c>
      <c r="N116" s="33"/>
      <c r="U116" s="4"/>
      <c r="V116" s="4"/>
      <c r="W116" s="4"/>
      <c r="X116" s="4"/>
    </row>
    <row r="117" spans="1:24" ht="39.75" customHeight="1">
      <c r="A117" s="12">
        <v>49</v>
      </c>
      <c r="B117" s="1"/>
      <c r="C117" s="16" t="s">
        <v>8</v>
      </c>
      <c r="D117" s="14" t="s">
        <v>114</v>
      </c>
      <c r="E117" s="24">
        <f t="shared" si="4"/>
        <v>101.8</v>
      </c>
      <c r="F117" s="24">
        <v>101.8</v>
      </c>
      <c r="G117" s="24">
        <v>23.5</v>
      </c>
      <c r="H117" s="24"/>
      <c r="I117" s="4">
        <f t="shared" si="5"/>
        <v>0.2</v>
      </c>
      <c r="J117" s="4">
        <v>0.2</v>
      </c>
      <c r="K117" s="4"/>
      <c r="M117" s="33">
        <f t="shared" si="6"/>
        <v>0</v>
      </c>
      <c r="N117" s="33"/>
      <c r="U117" s="4"/>
      <c r="V117" s="4"/>
      <c r="W117" s="4"/>
      <c r="X117" s="4"/>
    </row>
    <row r="118" spans="1:24" ht="39.75" customHeight="1">
      <c r="A118" s="12">
        <v>50</v>
      </c>
      <c r="B118" s="1"/>
      <c r="C118" s="18" t="s">
        <v>9</v>
      </c>
      <c r="D118" s="14" t="s">
        <v>114</v>
      </c>
      <c r="E118" s="24">
        <f t="shared" si="4"/>
        <v>91.2</v>
      </c>
      <c r="F118" s="24">
        <v>91.2</v>
      </c>
      <c r="G118" s="24">
        <v>13.8</v>
      </c>
      <c r="H118" s="24"/>
      <c r="I118" s="4">
        <f t="shared" si="5"/>
        <v>0.4</v>
      </c>
      <c r="J118" s="4">
        <v>0.4</v>
      </c>
      <c r="K118" s="4">
        <v>2.2</v>
      </c>
      <c r="M118" s="33">
        <f t="shared" si="6"/>
        <v>0</v>
      </c>
      <c r="N118" s="33"/>
      <c r="U118" s="4"/>
      <c r="V118" s="4"/>
      <c r="W118" s="4"/>
      <c r="X118" s="4"/>
    </row>
    <row r="119" spans="1:24" ht="39" customHeight="1">
      <c r="A119" s="12">
        <v>51</v>
      </c>
      <c r="B119" s="1"/>
      <c r="C119" s="16" t="s">
        <v>11</v>
      </c>
      <c r="D119" s="14" t="s">
        <v>114</v>
      </c>
      <c r="E119" s="24">
        <f t="shared" si="4"/>
        <v>91.8</v>
      </c>
      <c r="F119" s="24">
        <v>91.8</v>
      </c>
      <c r="G119" s="24">
        <v>26.9</v>
      </c>
      <c r="H119" s="24"/>
      <c r="I119" s="4">
        <f t="shared" si="5"/>
        <v>-6.7</v>
      </c>
      <c r="J119" s="4">
        <v>-6.7</v>
      </c>
      <c r="K119" s="4">
        <v>-6.3</v>
      </c>
      <c r="M119" s="33">
        <f t="shared" si="6"/>
        <v>0</v>
      </c>
      <c r="N119" s="33"/>
      <c r="U119" s="4"/>
      <c r="V119" s="4"/>
      <c r="W119" s="4"/>
      <c r="X119" s="4"/>
    </row>
    <row r="120" spans="1:24" ht="45" customHeight="1">
      <c r="A120" s="12">
        <v>52</v>
      </c>
      <c r="B120" s="1"/>
      <c r="C120" s="16" t="s">
        <v>10</v>
      </c>
      <c r="D120" s="14" t="s">
        <v>114</v>
      </c>
      <c r="E120" s="24">
        <f t="shared" si="4"/>
        <v>98.6</v>
      </c>
      <c r="F120" s="24">
        <v>98.6</v>
      </c>
      <c r="G120" s="24">
        <v>17.8</v>
      </c>
      <c r="H120" s="24"/>
      <c r="I120" s="4">
        <f t="shared" si="5"/>
        <v>-2.2</v>
      </c>
      <c r="J120" s="4">
        <v>-2.2</v>
      </c>
      <c r="K120" s="4">
        <v>-2.2</v>
      </c>
      <c r="M120" s="33">
        <f t="shared" si="6"/>
        <v>0</v>
      </c>
      <c r="N120" s="33"/>
      <c r="U120" s="4"/>
      <c r="V120" s="4"/>
      <c r="W120" s="4"/>
      <c r="X120" s="4"/>
    </row>
    <row r="121" spans="1:24" ht="39.75" customHeight="1">
      <c r="A121" s="12">
        <v>53</v>
      </c>
      <c r="B121" s="1"/>
      <c r="C121" s="16" t="s">
        <v>12</v>
      </c>
      <c r="D121" s="14" t="s">
        <v>114</v>
      </c>
      <c r="E121" s="24">
        <f t="shared" si="4"/>
        <v>55.7</v>
      </c>
      <c r="F121" s="24">
        <v>55.7</v>
      </c>
      <c r="G121" s="24">
        <v>11.5</v>
      </c>
      <c r="H121" s="24"/>
      <c r="I121" s="4">
        <f t="shared" si="5"/>
        <v>-0.3</v>
      </c>
      <c r="J121" s="4">
        <v>-0.3</v>
      </c>
      <c r="K121" s="4">
        <v>-0.3</v>
      </c>
      <c r="M121" s="33">
        <f t="shared" si="6"/>
        <v>0</v>
      </c>
      <c r="N121" s="33"/>
      <c r="U121" s="4"/>
      <c r="V121" s="4"/>
      <c r="W121" s="4"/>
      <c r="X121" s="4"/>
    </row>
    <row r="122" spans="1:24" ht="39.75" customHeight="1">
      <c r="A122" s="12">
        <v>54</v>
      </c>
      <c r="B122" s="1"/>
      <c r="C122" s="16" t="s">
        <v>13</v>
      </c>
      <c r="D122" s="14" t="s">
        <v>114</v>
      </c>
      <c r="E122" s="24">
        <f t="shared" si="4"/>
        <v>97.3</v>
      </c>
      <c r="F122" s="24">
        <v>97.3</v>
      </c>
      <c r="G122" s="24">
        <v>27.7</v>
      </c>
      <c r="H122" s="24"/>
      <c r="I122" s="4">
        <f t="shared" si="5"/>
        <v>2.8</v>
      </c>
      <c r="J122" s="4">
        <v>2.8</v>
      </c>
      <c r="K122" s="4">
        <v>2.5</v>
      </c>
      <c r="M122" s="33">
        <f t="shared" si="6"/>
        <v>0</v>
      </c>
      <c r="N122" s="33"/>
      <c r="U122" s="4"/>
      <c r="V122" s="4"/>
      <c r="W122" s="4"/>
      <c r="X122" s="4"/>
    </row>
    <row r="123" spans="1:24" ht="19.5" customHeight="1">
      <c r="A123" s="12">
        <v>55</v>
      </c>
      <c r="B123" s="11" t="s">
        <v>76</v>
      </c>
      <c r="C123" s="20" t="s">
        <v>350</v>
      </c>
      <c r="D123" s="1"/>
      <c r="E123" s="26">
        <f>+F123+H123</f>
        <v>838.3</v>
      </c>
      <c r="F123" s="26">
        <f>+F124+F137+F138+F139+F140+F141+F142+F143+F144+F145+F146</f>
        <v>625.8</v>
      </c>
      <c r="G123" s="26">
        <f>+G124+G137+G138+G139+G140+G141+G142+G143+G144+G145+G146</f>
        <v>71.9</v>
      </c>
      <c r="H123" s="26">
        <f>+H124+H137+H138+H139+H140+H141+H142+H143+H144+H145+H146</f>
        <v>212.5</v>
      </c>
      <c r="I123" s="4">
        <f t="shared" si="5"/>
        <v>0</v>
      </c>
      <c r="J123" s="4"/>
      <c r="K123" s="4"/>
      <c r="M123" s="33">
        <f t="shared" si="6"/>
        <v>0</v>
      </c>
      <c r="N123" s="33"/>
      <c r="U123" s="4"/>
      <c r="V123" s="4"/>
      <c r="W123" s="4"/>
      <c r="X123" s="4"/>
    </row>
    <row r="124" spans="1:24" ht="12" customHeight="1">
      <c r="A124" s="12">
        <v>56</v>
      </c>
      <c r="B124" s="11"/>
      <c r="C124" s="18" t="s">
        <v>253</v>
      </c>
      <c r="D124" s="1"/>
      <c r="E124" s="24">
        <f>+F124+H124</f>
        <v>815.6999999999999</v>
      </c>
      <c r="F124" s="24">
        <f>+F125+F126+F132+F133+F134</f>
        <v>603.1999999999999</v>
      </c>
      <c r="G124" s="24">
        <f>+G125+G126+G132+G133+G134</f>
        <v>50.4</v>
      </c>
      <c r="H124" s="24">
        <f>+H125+H126+H132+H133+H134</f>
        <v>212.5</v>
      </c>
      <c r="I124" s="4">
        <f t="shared" si="5"/>
        <v>0</v>
      </c>
      <c r="J124" s="4"/>
      <c r="K124" s="4"/>
      <c r="M124" s="33">
        <f t="shared" si="6"/>
        <v>0</v>
      </c>
      <c r="N124" s="33"/>
      <c r="U124" s="4"/>
      <c r="V124" s="4"/>
      <c r="W124" s="4"/>
      <c r="X124" s="4"/>
    </row>
    <row r="125" spans="1:24" ht="14.25" customHeight="1">
      <c r="A125" s="56" t="s">
        <v>243</v>
      </c>
      <c r="B125" s="1"/>
      <c r="C125" s="18" t="s">
        <v>2</v>
      </c>
      <c r="D125" s="1" t="s">
        <v>139</v>
      </c>
      <c r="E125" s="24">
        <f aca="true" t="shared" si="7" ref="E125:E177">+F125+H125</f>
        <v>117.9</v>
      </c>
      <c r="F125" s="24">
        <f>124.4-0.8-5.7</f>
        <v>117.9</v>
      </c>
      <c r="G125" s="24">
        <v>50.4</v>
      </c>
      <c r="H125" s="24"/>
      <c r="I125" s="4">
        <f t="shared" si="5"/>
        <v>3.6</v>
      </c>
      <c r="J125" s="4">
        <v>3.6</v>
      </c>
      <c r="K125" s="4">
        <v>3.6</v>
      </c>
      <c r="M125" s="33">
        <f t="shared" si="6"/>
        <v>0</v>
      </c>
      <c r="N125" s="33"/>
      <c r="U125" s="4"/>
      <c r="V125" s="4"/>
      <c r="W125" s="4"/>
      <c r="X125" s="4"/>
    </row>
    <row r="126" spans="1:24" ht="14.25" customHeight="1">
      <c r="A126" s="96" t="s">
        <v>244</v>
      </c>
      <c r="B126" s="73"/>
      <c r="C126" s="67" t="s">
        <v>328</v>
      </c>
      <c r="D126" s="73" t="s">
        <v>77</v>
      </c>
      <c r="E126" s="24">
        <f t="shared" si="7"/>
        <v>441.9</v>
      </c>
      <c r="F126" s="24">
        <f>+F127+F128+F129+F130+F131</f>
        <v>441.9</v>
      </c>
      <c r="G126" s="24">
        <f>+G127+G128+G129+G130+G131</f>
        <v>0</v>
      </c>
      <c r="H126" s="24">
        <f>+H127+H128+H129+H130+H131</f>
        <v>0</v>
      </c>
      <c r="I126" s="4">
        <f t="shared" si="5"/>
        <v>0</v>
      </c>
      <c r="J126" s="4"/>
      <c r="K126" s="4"/>
      <c r="M126" s="33">
        <f t="shared" si="6"/>
        <v>0</v>
      </c>
      <c r="N126" s="33"/>
      <c r="U126" s="4"/>
      <c r="V126" s="4"/>
      <c r="W126" s="4"/>
      <c r="X126" s="4"/>
    </row>
    <row r="127" spans="1:24" ht="26.25" customHeight="1">
      <c r="A127" s="97"/>
      <c r="B127" s="90"/>
      <c r="C127" s="63" t="s">
        <v>329</v>
      </c>
      <c r="D127" s="90"/>
      <c r="E127" s="24">
        <f t="shared" si="7"/>
        <v>225</v>
      </c>
      <c r="F127" s="24">
        <f>250-25</f>
        <v>225</v>
      </c>
      <c r="G127" s="24"/>
      <c r="H127" s="24"/>
      <c r="I127" s="4">
        <f t="shared" si="5"/>
        <v>0</v>
      </c>
      <c r="J127" s="4"/>
      <c r="K127" s="4"/>
      <c r="M127" s="33">
        <f t="shared" si="6"/>
        <v>0</v>
      </c>
      <c r="N127" s="33"/>
      <c r="U127" s="4"/>
      <c r="V127" s="4"/>
      <c r="W127" s="4"/>
      <c r="X127" s="4"/>
    </row>
    <row r="128" spans="1:24" ht="13.5" customHeight="1">
      <c r="A128" s="97"/>
      <c r="B128" s="90"/>
      <c r="C128" s="63" t="s">
        <v>420</v>
      </c>
      <c r="D128" s="90"/>
      <c r="E128" s="24">
        <f t="shared" si="7"/>
        <v>90</v>
      </c>
      <c r="F128" s="24">
        <f>100-10</f>
        <v>90</v>
      </c>
      <c r="G128" s="24"/>
      <c r="H128" s="24"/>
      <c r="I128" s="4">
        <f t="shared" si="5"/>
        <v>0</v>
      </c>
      <c r="J128" s="4"/>
      <c r="K128" s="4"/>
      <c r="M128" s="33">
        <f t="shared" si="6"/>
        <v>0</v>
      </c>
      <c r="N128" s="33"/>
      <c r="U128" s="4"/>
      <c r="V128" s="4"/>
      <c r="W128" s="4"/>
      <c r="X128" s="4"/>
    </row>
    <row r="129" spans="1:24" ht="13.5" customHeight="1">
      <c r="A129" s="97"/>
      <c r="B129" s="90"/>
      <c r="C129" s="63" t="s">
        <v>421</v>
      </c>
      <c r="D129" s="90"/>
      <c r="E129" s="24">
        <f t="shared" si="7"/>
        <v>13.5</v>
      </c>
      <c r="F129" s="24">
        <f>15-1.5</f>
        <v>13.5</v>
      </c>
      <c r="G129" s="24"/>
      <c r="H129" s="24"/>
      <c r="I129" s="4">
        <f t="shared" si="5"/>
        <v>0</v>
      </c>
      <c r="J129" s="4"/>
      <c r="K129" s="4"/>
      <c r="M129" s="33">
        <f t="shared" si="6"/>
        <v>0</v>
      </c>
      <c r="N129" s="33"/>
      <c r="U129" s="4"/>
      <c r="V129" s="4"/>
      <c r="W129" s="4"/>
      <c r="X129" s="4"/>
    </row>
    <row r="130" spans="1:24" ht="26.25" customHeight="1">
      <c r="A130" s="97"/>
      <c r="B130" s="90"/>
      <c r="C130" s="63" t="s">
        <v>422</v>
      </c>
      <c r="D130" s="90"/>
      <c r="E130" s="24">
        <f t="shared" si="7"/>
        <v>85.5</v>
      </c>
      <c r="F130" s="24">
        <f>95-9.5</f>
        <v>85.5</v>
      </c>
      <c r="G130" s="24"/>
      <c r="H130" s="24"/>
      <c r="I130" s="4">
        <f t="shared" si="5"/>
        <v>0</v>
      </c>
      <c r="J130" s="4"/>
      <c r="K130" s="4"/>
      <c r="M130" s="33">
        <f t="shared" si="6"/>
        <v>0</v>
      </c>
      <c r="N130" s="33"/>
      <c r="U130" s="4"/>
      <c r="V130" s="4"/>
      <c r="W130" s="4"/>
      <c r="X130" s="4"/>
    </row>
    <row r="131" spans="1:24" ht="19.5" customHeight="1">
      <c r="A131" s="98"/>
      <c r="B131" s="74"/>
      <c r="C131" s="63" t="s">
        <v>423</v>
      </c>
      <c r="D131" s="74"/>
      <c r="E131" s="24">
        <f t="shared" si="7"/>
        <v>27.9</v>
      </c>
      <c r="F131" s="24">
        <f>31-3.1</f>
        <v>27.9</v>
      </c>
      <c r="G131" s="24"/>
      <c r="H131" s="24"/>
      <c r="I131" s="4">
        <f t="shared" si="5"/>
        <v>0</v>
      </c>
      <c r="J131" s="4"/>
      <c r="K131" s="4"/>
      <c r="M131" s="33">
        <f t="shared" si="6"/>
        <v>0</v>
      </c>
      <c r="N131" s="33"/>
      <c r="U131" s="4"/>
      <c r="V131" s="4"/>
      <c r="W131" s="4"/>
      <c r="X131" s="4"/>
    </row>
    <row r="132" spans="1:24" ht="24" customHeight="1">
      <c r="A132" s="56" t="s">
        <v>245</v>
      </c>
      <c r="B132" s="1"/>
      <c r="C132" s="67" t="s">
        <v>330</v>
      </c>
      <c r="D132" s="1" t="s">
        <v>77</v>
      </c>
      <c r="E132" s="24">
        <f t="shared" si="7"/>
        <v>36</v>
      </c>
      <c r="F132" s="24">
        <f>40-4</f>
        <v>36</v>
      </c>
      <c r="G132" s="24"/>
      <c r="H132" s="24"/>
      <c r="I132" s="4">
        <f t="shared" si="5"/>
        <v>0</v>
      </c>
      <c r="J132" s="4"/>
      <c r="K132" s="4"/>
      <c r="M132" s="33">
        <f t="shared" si="6"/>
        <v>0</v>
      </c>
      <c r="N132" s="33"/>
      <c r="U132" s="4"/>
      <c r="V132" s="4"/>
      <c r="W132" s="4"/>
      <c r="X132" s="4"/>
    </row>
    <row r="133" spans="1:24" ht="27" customHeight="1">
      <c r="A133" s="56" t="s">
        <v>246</v>
      </c>
      <c r="B133" s="1"/>
      <c r="C133" s="67" t="s">
        <v>331</v>
      </c>
      <c r="D133" s="1" t="s">
        <v>77</v>
      </c>
      <c r="E133" s="24">
        <f t="shared" si="7"/>
        <v>1.4</v>
      </c>
      <c r="F133" s="24">
        <v>1.4</v>
      </c>
      <c r="G133" s="24"/>
      <c r="H133" s="24"/>
      <c r="I133" s="4">
        <f t="shared" si="5"/>
        <v>0</v>
      </c>
      <c r="J133" s="4"/>
      <c r="K133" s="4"/>
      <c r="M133" s="33">
        <f t="shared" si="6"/>
        <v>0</v>
      </c>
      <c r="N133" s="33"/>
      <c r="U133" s="4"/>
      <c r="V133" s="4"/>
      <c r="W133" s="4"/>
      <c r="X133" s="4"/>
    </row>
    <row r="134" spans="1:24" ht="42" customHeight="1">
      <c r="A134" s="56" t="s">
        <v>247</v>
      </c>
      <c r="B134" s="1"/>
      <c r="C134" s="37" t="s">
        <v>318</v>
      </c>
      <c r="D134" s="11"/>
      <c r="E134" s="60">
        <f>+F134+H134</f>
        <v>218.5</v>
      </c>
      <c r="F134" s="60">
        <f>+F135+F136</f>
        <v>6</v>
      </c>
      <c r="G134" s="60">
        <f>+G135+G136</f>
        <v>0</v>
      </c>
      <c r="H134" s="60">
        <f>+H135+H136</f>
        <v>212.5</v>
      </c>
      <c r="I134" s="4">
        <f t="shared" si="5"/>
        <v>0</v>
      </c>
      <c r="J134" s="4"/>
      <c r="K134" s="4"/>
      <c r="M134" s="33">
        <f t="shared" si="6"/>
        <v>0</v>
      </c>
      <c r="N134" s="33"/>
      <c r="U134" s="4"/>
      <c r="V134" s="4"/>
      <c r="W134" s="4"/>
      <c r="X134" s="4"/>
    </row>
    <row r="135" spans="1:24" ht="25.5">
      <c r="A135" s="57" t="s">
        <v>373</v>
      </c>
      <c r="B135" s="15"/>
      <c r="C135" s="16" t="s">
        <v>215</v>
      </c>
      <c r="D135" s="15" t="s">
        <v>60</v>
      </c>
      <c r="E135" s="24">
        <f t="shared" si="7"/>
        <v>208.5</v>
      </c>
      <c r="F135" s="24">
        <v>6</v>
      </c>
      <c r="G135" s="24"/>
      <c r="H135" s="24">
        <v>202.5</v>
      </c>
      <c r="I135" s="4">
        <f t="shared" si="5"/>
        <v>-4</v>
      </c>
      <c r="J135" s="4">
        <v>0.4</v>
      </c>
      <c r="K135" s="4"/>
      <c r="L135" s="2">
        <f>-0.4-4</f>
        <v>-4.4</v>
      </c>
      <c r="M135" s="33">
        <f t="shared" si="6"/>
        <v>0</v>
      </c>
      <c r="N135" s="33"/>
      <c r="U135" s="4"/>
      <c r="V135" s="4"/>
      <c r="W135" s="4"/>
      <c r="X135" s="4"/>
    </row>
    <row r="136" spans="1:24" ht="25.5">
      <c r="A136" s="57" t="s">
        <v>277</v>
      </c>
      <c r="B136" s="15"/>
      <c r="C136" s="16" t="s">
        <v>332</v>
      </c>
      <c r="D136" s="15" t="s">
        <v>59</v>
      </c>
      <c r="E136" s="24">
        <f t="shared" si="7"/>
        <v>10</v>
      </c>
      <c r="F136" s="24"/>
      <c r="G136" s="24"/>
      <c r="H136" s="24">
        <v>10</v>
      </c>
      <c r="I136" s="4"/>
      <c r="J136" s="4"/>
      <c r="K136" s="4"/>
      <c r="M136" s="33">
        <f t="shared" si="6"/>
        <v>0</v>
      </c>
      <c r="N136" s="33"/>
      <c r="U136" s="4"/>
      <c r="V136" s="4"/>
      <c r="W136" s="4"/>
      <c r="X136" s="4"/>
    </row>
    <row r="137" spans="1:24" ht="27" customHeight="1">
      <c r="A137" s="12">
        <v>57</v>
      </c>
      <c r="B137" s="1"/>
      <c r="C137" s="16" t="s">
        <v>3</v>
      </c>
      <c r="D137" s="1" t="s">
        <v>77</v>
      </c>
      <c r="E137" s="24">
        <f t="shared" si="7"/>
        <v>2.2</v>
      </c>
      <c r="F137" s="24">
        <v>2.2</v>
      </c>
      <c r="G137" s="24">
        <v>2.1</v>
      </c>
      <c r="H137" s="24"/>
      <c r="I137" s="4">
        <f t="shared" si="5"/>
        <v>-0.3</v>
      </c>
      <c r="J137" s="4">
        <v>-0.3</v>
      </c>
      <c r="K137" s="4">
        <v>-0.3</v>
      </c>
      <c r="M137" s="33">
        <f t="shared" si="6"/>
        <v>0</v>
      </c>
      <c r="N137" s="33"/>
      <c r="U137" s="4"/>
      <c r="V137" s="4"/>
      <c r="W137" s="4"/>
      <c r="X137" s="4"/>
    </row>
    <row r="138" spans="1:24" ht="27" customHeight="1">
      <c r="A138" s="12">
        <v>58</v>
      </c>
      <c r="B138" s="1"/>
      <c r="C138" s="16" t="s">
        <v>4</v>
      </c>
      <c r="D138" s="1" t="s">
        <v>77</v>
      </c>
      <c r="E138" s="24">
        <f t="shared" si="7"/>
        <v>2.1</v>
      </c>
      <c r="F138" s="24">
        <v>2.1</v>
      </c>
      <c r="G138" s="24">
        <v>2.1</v>
      </c>
      <c r="H138" s="24"/>
      <c r="I138" s="4">
        <f t="shared" si="5"/>
        <v>-0.5</v>
      </c>
      <c r="J138" s="4">
        <v>-0.5</v>
      </c>
      <c r="K138" s="4">
        <v>-0.5</v>
      </c>
      <c r="M138" s="33">
        <f t="shared" si="6"/>
        <v>0</v>
      </c>
      <c r="N138" s="33"/>
      <c r="U138" s="4"/>
      <c r="V138" s="4"/>
      <c r="W138" s="4"/>
      <c r="X138" s="4"/>
    </row>
    <row r="139" spans="1:24" ht="27" customHeight="1">
      <c r="A139" s="12">
        <v>59</v>
      </c>
      <c r="B139" s="1"/>
      <c r="C139" s="18" t="s">
        <v>6</v>
      </c>
      <c r="D139" s="1" t="s">
        <v>77</v>
      </c>
      <c r="E139" s="24">
        <f t="shared" si="7"/>
        <v>2.2</v>
      </c>
      <c r="F139" s="24">
        <v>2.2</v>
      </c>
      <c r="G139" s="24">
        <v>2.1</v>
      </c>
      <c r="H139" s="24"/>
      <c r="I139" s="4">
        <f t="shared" si="5"/>
        <v>-0.9</v>
      </c>
      <c r="J139" s="4">
        <v>-0.9</v>
      </c>
      <c r="K139" s="4">
        <v>-0.9</v>
      </c>
      <c r="M139" s="33">
        <f t="shared" si="6"/>
        <v>0</v>
      </c>
      <c r="N139" s="33"/>
      <c r="U139" s="4"/>
      <c r="V139" s="4"/>
      <c r="W139" s="4"/>
      <c r="X139" s="4"/>
    </row>
    <row r="140" spans="1:24" ht="26.25" customHeight="1">
      <c r="A140" s="12">
        <v>60</v>
      </c>
      <c r="B140" s="1"/>
      <c r="C140" s="16" t="s">
        <v>5</v>
      </c>
      <c r="D140" s="1" t="s">
        <v>77</v>
      </c>
      <c r="E140" s="24">
        <f t="shared" si="7"/>
        <v>2.5</v>
      </c>
      <c r="F140" s="24">
        <v>2.5</v>
      </c>
      <c r="G140" s="24">
        <v>2.4</v>
      </c>
      <c r="H140" s="24"/>
      <c r="I140" s="4">
        <f t="shared" si="5"/>
        <v>0</v>
      </c>
      <c r="J140" s="4"/>
      <c r="K140" s="4"/>
      <c r="M140" s="33">
        <f t="shared" si="6"/>
        <v>0</v>
      </c>
      <c r="N140" s="33"/>
      <c r="U140" s="4"/>
      <c r="V140" s="4"/>
      <c r="W140" s="4"/>
      <c r="X140" s="4"/>
    </row>
    <row r="141" spans="1:24" ht="27.75" customHeight="1">
      <c r="A141" s="12">
        <v>61</v>
      </c>
      <c r="B141" s="1"/>
      <c r="C141" s="16" t="s">
        <v>8</v>
      </c>
      <c r="D141" s="1" t="s">
        <v>77</v>
      </c>
      <c r="E141" s="24">
        <f t="shared" si="7"/>
        <v>2.4</v>
      </c>
      <c r="F141" s="24">
        <v>2.4</v>
      </c>
      <c r="G141" s="24">
        <v>2.3</v>
      </c>
      <c r="H141" s="24"/>
      <c r="I141" s="4">
        <f t="shared" si="5"/>
        <v>0.1</v>
      </c>
      <c r="J141" s="4">
        <v>0.1</v>
      </c>
      <c r="K141" s="4">
        <v>0.1</v>
      </c>
      <c r="M141" s="33">
        <f aca="true" t="shared" si="8" ref="M141:M198">+N141+T141</f>
        <v>0</v>
      </c>
      <c r="N141" s="33"/>
      <c r="U141" s="4"/>
      <c r="V141" s="4"/>
      <c r="W141" s="4"/>
      <c r="X141" s="4"/>
    </row>
    <row r="142" spans="1:24" ht="26.25" customHeight="1">
      <c r="A142" s="12">
        <v>62</v>
      </c>
      <c r="B142" s="1"/>
      <c r="C142" s="18" t="s">
        <v>9</v>
      </c>
      <c r="D142" s="1" t="s">
        <v>77</v>
      </c>
      <c r="E142" s="24">
        <f t="shared" si="7"/>
        <v>2.2</v>
      </c>
      <c r="F142" s="24">
        <v>2.2</v>
      </c>
      <c r="G142" s="24">
        <v>2.1</v>
      </c>
      <c r="H142" s="24"/>
      <c r="I142" s="4">
        <f t="shared" si="5"/>
        <v>0</v>
      </c>
      <c r="J142" s="4"/>
      <c r="K142" s="4"/>
      <c r="M142" s="33">
        <f t="shared" si="8"/>
        <v>0</v>
      </c>
      <c r="N142" s="33"/>
      <c r="U142" s="4"/>
      <c r="V142" s="4"/>
      <c r="W142" s="4"/>
      <c r="X142" s="4"/>
    </row>
    <row r="143" spans="1:24" ht="27" customHeight="1">
      <c r="A143" s="12">
        <v>63</v>
      </c>
      <c r="B143" s="1"/>
      <c r="C143" s="16" t="s">
        <v>11</v>
      </c>
      <c r="D143" s="1" t="s">
        <v>77</v>
      </c>
      <c r="E143" s="24">
        <f t="shared" si="7"/>
        <v>2.4</v>
      </c>
      <c r="F143" s="24">
        <v>2.4</v>
      </c>
      <c r="G143" s="24">
        <v>2.3</v>
      </c>
      <c r="H143" s="24"/>
      <c r="I143" s="4">
        <f aca="true" t="shared" si="9" ref="I143:I199">+J143+L143</f>
        <v>0.1</v>
      </c>
      <c r="J143" s="4">
        <v>0.1</v>
      </c>
      <c r="K143" s="4">
        <v>0.2</v>
      </c>
      <c r="M143" s="33">
        <f t="shared" si="8"/>
        <v>0</v>
      </c>
      <c r="N143" s="33"/>
      <c r="U143" s="4"/>
      <c r="V143" s="4"/>
      <c r="W143" s="4"/>
      <c r="X143" s="4"/>
    </row>
    <row r="144" spans="1:24" ht="29.25" customHeight="1">
      <c r="A144" s="12">
        <v>64</v>
      </c>
      <c r="B144" s="1"/>
      <c r="C144" s="16" t="s">
        <v>118</v>
      </c>
      <c r="D144" s="1" t="s">
        <v>77</v>
      </c>
      <c r="E144" s="24">
        <f t="shared" si="7"/>
        <v>1.9</v>
      </c>
      <c r="F144" s="24">
        <v>1.9</v>
      </c>
      <c r="G144" s="24">
        <v>1.7</v>
      </c>
      <c r="H144" s="24"/>
      <c r="I144" s="4">
        <f t="shared" si="9"/>
        <v>-0.3</v>
      </c>
      <c r="J144" s="4">
        <v>-0.3</v>
      </c>
      <c r="K144" s="4">
        <v>-0.3</v>
      </c>
      <c r="M144" s="33">
        <f t="shared" si="8"/>
        <v>0</v>
      </c>
      <c r="N144" s="33"/>
      <c r="U144" s="4"/>
      <c r="V144" s="4"/>
      <c r="W144" s="4"/>
      <c r="X144" s="4"/>
    </row>
    <row r="145" spans="1:24" ht="30" customHeight="1">
      <c r="A145" s="12">
        <v>65</v>
      </c>
      <c r="B145" s="1"/>
      <c r="C145" s="16" t="s">
        <v>12</v>
      </c>
      <c r="D145" s="1" t="s">
        <v>77</v>
      </c>
      <c r="E145" s="24">
        <f t="shared" si="7"/>
        <v>2.3</v>
      </c>
      <c r="F145" s="24">
        <v>2.3</v>
      </c>
      <c r="G145" s="24">
        <v>2.2</v>
      </c>
      <c r="H145" s="24"/>
      <c r="I145" s="4">
        <f t="shared" si="9"/>
        <v>0</v>
      </c>
      <c r="J145" s="4"/>
      <c r="K145" s="4"/>
      <c r="M145" s="33">
        <f t="shared" si="8"/>
        <v>0</v>
      </c>
      <c r="N145" s="33"/>
      <c r="U145" s="4"/>
      <c r="V145" s="4"/>
      <c r="W145" s="4"/>
      <c r="X145" s="4"/>
    </row>
    <row r="146" spans="1:24" ht="29.25" customHeight="1">
      <c r="A146" s="12">
        <v>66</v>
      </c>
      <c r="B146" s="1"/>
      <c r="C146" s="16" t="s">
        <v>13</v>
      </c>
      <c r="D146" s="1" t="s">
        <v>77</v>
      </c>
      <c r="E146" s="24">
        <f t="shared" si="7"/>
        <v>2.4</v>
      </c>
      <c r="F146" s="24">
        <v>2.4</v>
      </c>
      <c r="G146" s="24">
        <v>2.2</v>
      </c>
      <c r="H146" s="24"/>
      <c r="I146" s="4">
        <f t="shared" si="9"/>
        <v>0.2</v>
      </c>
      <c r="J146" s="4">
        <v>0.2</v>
      </c>
      <c r="K146" s="4">
        <v>0.2</v>
      </c>
      <c r="M146" s="33">
        <f t="shared" si="8"/>
        <v>0</v>
      </c>
      <c r="N146" s="33"/>
      <c r="U146" s="4"/>
      <c r="V146" s="4"/>
      <c r="W146" s="4"/>
      <c r="X146" s="4"/>
    </row>
    <row r="147" spans="1:24" ht="24.75" customHeight="1">
      <c r="A147" s="12">
        <v>67</v>
      </c>
      <c r="B147" s="11" t="s">
        <v>78</v>
      </c>
      <c r="C147" s="20" t="s">
        <v>79</v>
      </c>
      <c r="D147" s="10"/>
      <c r="E147" s="26">
        <f>+F147+H147</f>
        <v>3596.2000000000003</v>
      </c>
      <c r="F147" s="26">
        <f>+F148+F149+F150+F151+F152+F153+F154+F155+F157+F170</f>
        <v>3113.6000000000004</v>
      </c>
      <c r="G147" s="26">
        <f>+G148+G149+G150+G151+G152+G153+G154+G155+G157+G170</f>
        <v>2096.6</v>
      </c>
      <c r="H147" s="26">
        <f>+H148+H149+H150+H151+H152+H153+H154+H155+H157+H170</f>
        <v>482.59999999999997</v>
      </c>
      <c r="I147" s="4">
        <f t="shared" si="9"/>
        <v>0</v>
      </c>
      <c r="J147" s="4"/>
      <c r="K147" s="4"/>
      <c r="M147" s="33">
        <f t="shared" si="8"/>
        <v>0</v>
      </c>
      <c r="N147" s="33"/>
      <c r="U147" s="4"/>
      <c r="V147" s="4"/>
      <c r="W147" s="4"/>
      <c r="X147" s="4"/>
    </row>
    <row r="148" spans="1:24" ht="15" customHeight="1">
      <c r="A148" s="12">
        <v>68</v>
      </c>
      <c r="B148" s="1"/>
      <c r="C148" s="34" t="s">
        <v>38</v>
      </c>
      <c r="D148" s="1" t="s">
        <v>80</v>
      </c>
      <c r="E148" s="24">
        <f>+F148+H148</f>
        <v>595.2</v>
      </c>
      <c r="F148" s="24">
        <v>595.2</v>
      </c>
      <c r="G148" s="24">
        <v>458.5</v>
      </c>
      <c r="H148" s="24"/>
      <c r="I148" s="4">
        <f t="shared" si="9"/>
        <v>0</v>
      </c>
      <c r="J148" s="4"/>
      <c r="K148" s="4"/>
      <c r="M148" s="33">
        <f t="shared" si="8"/>
        <v>0</v>
      </c>
      <c r="N148" s="33"/>
      <c r="U148" s="4"/>
      <c r="V148" s="4"/>
      <c r="W148" s="4"/>
      <c r="X148" s="4"/>
    </row>
    <row r="149" spans="1:24" ht="15" customHeight="1">
      <c r="A149" s="12">
        <v>69</v>
      </c>
      <c r="B149" s="1"/>
      <c r="C149" s="68" t="s">
        <v>44</v>
      </c>
      <c r="D149" s="1" t="s">
        <v>80</v>
      </c>
      <c r="E149" s="24">
        <f t="shared" si="7"/>
        <v>192.6</v>
      </c>
      <c r="F149" s="24">
        <v>192.6</v>
      </c>
      <c r="G149" s="24">
        <v>157.5</v>
      </c>
      <c r="H149" s="24"/>
      <c r="I149" s="4">
        <f t="shared" si="9"/>
        <v>0</v>
      </c>
      <c r="J149" s="4">
        <v>-3.5</v>
      </c>
      <c r="K149" s="4">
        <v>-3.2</v>
      </c>
      <c r="L149" s="2">
        <v>3.5</v>
      </c>
      <c r="M149" s="33">
        <f t="shared" si="8"/>
        <v>0</v>
      </c>
      <c r="N149" s="33"/>
      <c r="U149" s="4"/>
      <c r="V149" s="4"/>
      <c r="W149" s="4"/>
      <c r="X149" s="4"/>
    </row>
    <row r="150" spans="1:24" ht="15" customHeight="1">
      <c r="A150" s="12">
        <v>70</v>
      </c>
      <c r="B150" s="1"/>
      <c r="C150" s="68" t="s">
        <v>45</v>
      </c>
      <c r="D150" s="1" t="s">
        <v>80</v>
      </c>
      <c r="E150" s="24">
        <f t="shared" si="7"/>
        <v>139.1</v>
      </c>
      <c r="F150" s="24">
        <v>139.1</v>
      </c>
      <c r="G150" s="24">
        <v>104.1</v>
      </c>
      <c r="H150" s="24"/>
      <c r="I150" s="4">
        <f t="shared" si="9"/>
        <v>0</v>
      </c>
      <c r="J150" s="4"/>
      <c r="K150" s="4"/>
      <c r="M150" s="33">
        <f t="shared" si="8"/>
        <v>0</v>
      </c>
      <c r="N150" s="33"/>
      <c r="U150" s="4"/>
      <c r="V150" s="4"/>
      <c r="W150" s="4"/>
      <c r="X150" s="4"/>
    </row>
    <row r="151" spans="1:24" ht="15" customHeight="1">
      <c r="A151" s="12">
        <v>71</v>
      </c>
      <c r="B151" s="1"/>
      <c r="C151" s="68" t="s">
        <v>39</v>
      </c>
      <c r="D151" s="1" t="s">
        <v>80</v>
      </c>
      <c r="E151" s="24">
        <f t="shared" si="7"/>
        <v>126.5</v>
      </c>
      <c r="F151" s="24">
        <v>126.5</v>
      </c>
      <c r="G151" s="24">
        <v>97.6</v>
      </c>
      <c r="H151" s="24"/>
      <c r="I151" s="4">
        <f t="shared" si="9"/>
        <v>0</v>
      </c>
      <c r="J151" s="4">
        <v>-2.2</v>
      </c>
      <c r="K151" s="4">
        <v>-3.4</v>
      </c>
      <c r="L151" s="2">
        <v>2.2</v>
      </c>
      <c r="M151" s="33">
        <f t="shared" si="8"/>
        <v>0</v>
      </c>
      <c r="N151" s="33"/>
      <c r="U151" s="4"/>
      <c r="V151" s="4"/>
      <c r="W151" s="4"/>
      <c r="X151" s="4"/>
    </row>
    <row r="152" spans="1:24" ht="15" customHeight="1">
      <c r="A152" s="12">
        <v>72</v>
      </c>
      <c r="B152" s="1"/>
      <c r="C152" s="68" t="s">
        <v>46</v>
      </c>
      <c r="D152" s="1" t="s">
        <v>80</v>
      </c>
      <c r="E152" s="24">
        <f t="shared" si="7"/>
        <v>87.6</v>
      </c>
      <c r="F152" s="24">
        <v>87.6</v>
      </c>
      <c r="G152" s="24">
        <v>74</v>
      </c>
      <c r="H152" s="24"/>
      <c r="I152" s="4">
        <f t="shared" si="9"/>
        <v>0</v>
      </c>
      <c r="J152" s="4">
        <v>-8</v>
      </c>
      <c r="K152" s="4">
        <v>-8</v>
      </c>
      <c r="L152" s="2">
        <v>8</v>
      </c>
      <c r="M152" s="33">
        <f t="shared" si="8"/>
        <v>0</v>
      </c>
      <c r="N152" s="33"/>
      <c r="U152" s="4"/>
      <c r="V152" s="4"/>
      <c r="W152" s="4"/>
      <c r="X152" s="4"/>
    </row>
    <row r="153" spans="1:24" ht="15" customHeight="1">
      <c r="A153" s="12">
        <v>73</v>
      </c>
      <c r="B153" s="1"/>
      <c r="C153" s="68" t="s">
        <v>47</v>
      </c>
      <c r="D153" s="1" t="s">
        <v>80</v>
      </c>
      <c r="E153" s="24">
        <f t="shared" si="7"/>
        <v>81.4</v>
      </c>
      <c r="F153" s="24">
        <v>81.4</v>
      </c>
      <c r="G153" s="24">
        <v>64.8</v>
      </c>
      <c r="H153" s="24"/>
      <c r="I153" s="4">
        <f t="shared" si="9"/>
        <v>0</v>
      </c>
      <c r="J153" s="4"/>
      <c r="K153" s="4"/>
      <c r="M153" s="33">
        <f t="shared" si="8"/>
        <v>0</v>
      </c>
      <c r="N153" s="33"/>
      <c r="U153" s="4"/>
      <c r="V153" s="4"/>
      <c r="W153" s="4"/>
      <c r="X153" s="4"/>
    </row>
    <row r="154" spans="1:24" ht="26.25" customHeight="1">
      <c r="A154" s="12">
        <v>74</v>
      </c>
      <c r="B154" s="1"/>
      <c r="C154" s="16" t="s">
        <v>48</v>
      </c>
      <c r="D154" s="1" t="s">
        <v>81</v>
      </c>
      <c r="E154" s="24">
        <f t="shared" si="7"/>
        <v>867.4</v>
      </c>
      <c r="F154" s="24">
        <v>867.4</v>
      </c>
      <c r="G154" s="24">
        <v>747.6</v>
      </c>
      <c r="H154" s="24"/>
      <c r="I154" s="4">
        <f t="shared" si="9"/>
        <v>0</v>
      </c>
      <c r="J154" s="4">
        <v>20</v>
      </c>
      <c r="K154" s="4"/>
      <c r="L154" s="2">
        <v>-20</v>
      </c>
      <c r="M154" s="33">
        <f t="shared" si="8"/>
        <v>0</v>
      </c>
      <c r="N154" s="33"/>
      <c r="U154" s="4"/>
      <c r="V154" s="4"/>
      <c r="W154" s="4"/>
      <c r="X154" s="4"/>
    </row>
    <row r="155" spans="1:24" ht="17.25" customHeight="1">
      <c r="A155" s="83">
        <v>75</v>
      </c>
      <c r="B155" s="73"/>
      <c r="C155" s="68" t="s">
        <v>37</v>
      </c>
      <c r="D155" s="73" t="s">
        <v>82</v>
      </c>
      <c r="E155" s="24">
        <f t="shared" si="7"/>
        <v>601.5</v>
      </c>
      <c r="F155" s="24">
        <v>601.5</v>
      </c>
      <c r="G155" s="24">
        <v>341.1</v>
      </c>
      <c r="H155" s="24"/>
      <c r="I155" s="4">
        <f t="shared" si="9"/>
        <v>0</v>
      </c>
      <c r="J155" s="4"/>
      <c r="K155" s="4">
        <v>8</v>
      </c>
      <c r="M155" s="33">
        <f t="shared" si="8"/>
        <v>0</v>
      </c>
      <c r="N155" s="33"/>
      <c r="U155" s="4"/>
      <c r="V155" s="4"/>
      <c r="W155" s="4"/>
      <c r="X155" s="4"/>
    </row>
    <row r="156" spans="1:24" ht="38.25">
      <c r="A156" s="84"/>
      <c r="B156" s="74"/>
      <c r="C156" s="65" t="s">
        <v>424</v>
      </c>
      <c r="D156" s="74"/>
      <c r="E156" s="24">
        <f t="shared" si="7"/>
        <v>190.8</v>
      </c>
      <c r="F156" s="24">
        <f>23.8+167</f>
        <v>190.8</v>
      </c>
      <c r="G156" s="24"/>
      <c r="H156" s="24"/>
      <c r="I156" s="4">
        <f t="shared" si="9"/>
        <v>0</v>
      </c>
      <c r="J156" s="4"/>
      <c r="K156" s="4"/>
      <c r="M156" s="33">
        <f t="shared" si="8"/>
        <v>0</v>
      </c>
      <c r="N156" s="33"/>
      <c r="U156" s="4"/>
      <c r="V156" s="4"/>
      <c r="W156" s="4"/>
      <c r="X156" s="4"/>
    </row>
    <row r="157" spans="1:24" ht="12" customHeight="1">
      <c r="A157" s="12">
        <v>76</v>
      </c>
      <c r="B157" s="1"/>
      <c r="C157" s="18" t="s">
        <v>253</v>
      </c>
      <c r="D157" s="1"/>
      <c r="E157" s="24">
        <f t="shared" si="7"/>
        <v>899.5999999999999</v>
      </c>
      <c r="F157" s="24">
        <f>+F158+F159+F160+F161</f>
        <v>417</v>
      </c>
      <c r="G157" s="24">
        <f>+G158+G159+G160+G162+G163+G161</f>
        <v>46.4</v>
      </c>
      <c r="H157" s="24">
        <f>+H158+H159+H160+H162+H163+H161</f>
        <v>482.59999999999997</v>
      </c>
      <c r="I157" s="4">
        <f t="shared" si="9"/>
        <v>0</v>
      </c>
      <c r="J157" s="4"/>
      <c r="K157" s="4"/>
      <c r="M157" s="33">
        <f t="shared" si="8"/>
        <v>0</v>
      </c>
      <c r="N157" s="33"/>
      <c r="U157" s="4"/>
      <c r="V157" s="4"/>
      <c r="W157" s="4"/>
      <c r="X157" s="4"/>
    </row>
    <row r="158" spans="1:24" ht="65.25" customHeight="1">
      <c r="A158" s="56" t="s">
        <v>248</v>
      </c>
      <c r="B158" s="1"/>
      <c r="C158" s="18" t="s">
        <v>2</v>
      </c>
      <c r="D158" s="14" t="s">
        <v>157</v>
      </c>
      <c r="E158" s="24">
        <f t="shared" si="7"/>
        <v>266</v>
      </c>
      <c r="F158" s="24">
        <f>329.6-58.6-5</f>
        <v>266</v>
      </c>
      <c r="G158" s="24">
        <v>46.4</v>
      </c>
      <c r="H158" s="24"/>
      <c r="I158" s="4">
        <f t="shared" si="9"/>
        <v>2.6</v>
      </c>
      <c r="J158" s="4">
        <v>2.6</v>
      </c>
      <c r="K158" s="4">
        <v>1.2</v>
      </c>
      <c r="M158" s="33">
        <f t="shared" si="8"/>
        <v>0</v>
      </c>
      <c r="N158" s="33"/>
      <c r="U158" s="4"/>
      <c r="V158" s="4"/>
      <c r="W158" s="48"/>
      <c r="X158" s="4"/>
    </row>
    <row r="159" spans="1:24" ht="63.75">
      <c r="A159" s="56" t="s">
        <v>249</v>
      </c>
      <c r="B159" s="1"/>
      <c r="C159" s="28" t="s">
        <v>333</v>
      </c>
      <c r="D159" s="14" t="s">
        <v>83</v>
      </c>
      <c r="E159" s="24">
        <f t="shared" si="7"/>
        <v>18</v>
      </c>
      <c r="F159" s="24">
        <v>18</v>
      </c>
      <c r="G159" s="24"/>
      <c r="H159" s="24"/>
      <c r="I159" s="4">
        <f t="shared" si="9"/>
        <v>0</v>
      </c>
      <c r="J159" s="4"/>
      <c r="K159" s="4"/>
      <c r="M159" s="33">
        <f t="shared" si="8"/>
        <v>0</v>
      </c>
      <c r="N159" s="33"/>
      <c r="U159" s="4"/>
      <c r="V159" s="4"/>
      <c r="W159" s="4"/>
      <c r="X159" s="4"/>
    </row>
    <row r="160" spans="1:24" ht="24.75" customHeight="1">
      <c r="A160" s="56" t="s">
        <v>250</v>
      </c>
      <c r="B160" s="1"/>
      <c r="C160" s="28" t="s">
        <v>169</v>
      </c>
      <c r="D160" s="14" t="s">
        <v>83</v>
      </c>
      <c r="E160" s="24">
        <f t="shared" si="7"/>
        <v>10</v>
      </c>
      <c r="F160" s="24">
        <v>10</v>
      </c>
      <c r="G160" s="24"/>
      <c r="H160" s="24"/>
      <c r="I160" s="4">
        <f t="shared" si="9"/>
        <v>0</v>
      </c>
      <c r="J160" s="4"/>
      <c r="K160" s="4"/>
      <c r="M160" s="33">
        <f t="shared" si="8"/>
        <v>0</v>
      </c>
      <c r="N160" s="33"/>
      <c r="U160" s="4"/>
      <c r="V160" s="4"/>
      <c r="W160" s="4"/>
      <c r="X160" s="4"/>
    </row>
    <row r="161" spans="1:24" ht="39" customHeight="1">
      <c r="A161" s="56" t="s">
        <v>251</v>
      </c>
      <c r="B161" s="1"/>
      <c r="C161" s="37" t="s">
        <v>318</v>
      </c>
      <c r="D161" s="10"/>
      <c r="E161" s="60">
        <f>+F161+H161</f>
        <v>605.5999999999999</v>
      </c>
      <c r="F161" s="60">
        <f>+F162+F163+F164+F165+F166+F167+F168+F169</f>
        <v>123</v>
      </c>
      <c r="G161" s="60">
        <f>+G162+G163+G164+G165+G166+G167+G168+G169</f>
        <v>0</v>
      </c>
      <c r="H161" s="60">
        <f>+H162+H163+H164+H165+H166+H167+H168+H169</f>
        <v>482.59999999999997</v>
      </c>
      <c r="I161" s="4">
        <f t="shared" si="9"/>
        <v>0</v>
      </c>
      <c r="J161" s="4"/>
      <c r="K161" s="4"/>
      <c r="M161" s="33">
        <f t="shared" si="8"/>
        <v>0</v>
      </c>
      <c r="N161" s="33"/>
      <c r="U161" s="4"/>
      <c r="V161" s="4"/>
      <c r="W161" s="4"/>
      <c r="X161" s="4"/>
    </row>
    <row r="162" spans="1:24" ht="38.25">
      <c r="A162" s="56" t="s">
        <v>374</v>
      </c>
      <c r="B162" s="1"/>
      <c r="C162" s="28" t="s">
        <v>293</v>
      </c>
      <c r="D162" s="14" t="s">
        <v>196</v>
      </c>
      <c r="E162" s="24">
        <f t="shared" si="7"/>
        <v>76</v>
      </c>
      <c r="F162" s="24">
        <v>76</v>
      </c>
      <c r="G162" s="24"/>
      <c r="H162" s="24"/>
      <c r="I162" s="4">
        <f>+J162+L162</f>
        <v>0</v>
      </c>
      <c r="J162" s="4"/>
      <c r="K162" s="4"/>
      <c r="M162" s="33">
        <f t="shared" si="8"/>
        <v>0</v>
      </c>
      <c r="N162" s="33"/>
      <c r="U162" s="4"/>
      <c r="V162" s="4"/>
      <c r="W162" s="4"/>
      <c r="X162" s="4"/>
    </row>
    <row r="163" spans="1:24" ht="25.5">
      <c r="A163" s="56" t="s">
        <v>375</v>
      </c>
      <c r="B163" s="1"/>
      <c r="C163" s="28" t="s">
        <v>306</v>
      </c>
      <c r="D163" s="14" t="s">
        <v>196</v>
      </c>
      <c r="E163" s="24">
        <f t="shared" si="7"/>
        <v>27.5</v>
      </c>
      <c r="F163" s="24">
        <v>27.5</v>
      </c>
      <c r="G163" s="24"/>
      <c r="H163" s="24"/>
      <c r="I163" s="4">
        <f>+J163+L163</f>
        <v>0.2</v>
      </c>
      <c r="J163" s="4">
        <v>0.2</v>
      </c>
      <c r="K163" s="4"/>
      <c r="M163" s="33">
        <f t="shared" si="8"/>
        <v>0</v>
      </c>
      <c r="N163" s="33"/>
      <c r="U163" s="4"/>
      <c r="V163" s="4"/>
      <c r="W163" s="4"/>
      <c r="X163" s="4"/>
    </row>
    <row r="164" spans="1:24" ht="38.25">
      <c r="A164" s="56" t="s">
        <v>376</v>
      </c>
      <c r="B164" s="15"/>
      <c r="C164" s="18" t="s">
        <v>268</v>
      </c>
      <c r="D164" s="15" t="s">
        <v>82</v>
      </c>
      <c r="E164" s="24">
        <f t="shared" si="7"/>
        <v>69.9</v>
      </c>
      <c r="F164" s="24">
        <v>2</v>
      </c>
      <c r="G164" s="24"/>
      <c r="H164" s="24">
        <v>67.9</v>
      </c>
      <c r="I164" s="4">
        <f t="shared" si="9"/>
        <v>-18</v>
      </c>
      <c r="J164" s="4"/>
      <c r="K164" s="4"/>
      <c r="L164" s="2">
        <v>-18</v>
      </c>
      <c r="M164" s="33">
        <f t="shared" si="8"/>
        <v>0</v>
      </c>
      <c r="N164" s="33"/>
      <c r="U164" s="4"/>
      <c r="V164" s="4"/>
      <c r="W164" s="4"/>
      <c r="X164" s="4"/>
    </row>
    <row r="165" spans="1:24" ht="25.5">
      <c r="A165" s="56" t="s">
        <v>377</v>
      </c>
      <c r="B165" s="15"/>
      <c r="C165" s="38" t="s">
        <v>178</v>
      </c>
      <c r="D165" s="1" t="s">
        <v>80</v>
      </c>
      <c r="E165" s="24">
        <f t="shared" si="7"/>
        <v>302.8</v>
      </c>
      <c r="F165" s="24">
        <v>11.8</v>
      </c>
      <c r="G165" s="24"/>
      <c r="H165" s="24">
        <v>291</v>
      </c>
      <c r="I165" s="4">
        <f t="shared" si="9"/>
        <v>-35.5</v>
      </c>
      <c r="J165" s="4"/>
      <c r="K165" s="4"/>
      <c r="L165" s="2">
        <v>-35.5</v>
      </c>
      <c r="M165" s="33">
        <f t="shared" si="8"/>
        <v>0</v>
      </c>
      <c r="N165" s="33"/>
      <c r="U165" s="4"/>
      <c r="V165" s="4"/>
      <c r="W165" s="4"/>
      <c r="X165" s="4"/>
    </row>
    <row r="166" spans="1:24" ht="25.5">
      <c r="A166" s="56" t="s">
        <v>378</v>
      </c>
      <c r="B166" s="15"/>
      <c r="C166" s="38" t="s">
        <v>334</v>
      </c>
      <c r="D166" s="1" t="s">
        <v>80</v>
      </c>
      <c r="E166" s="24">
        <f t="shared" si="7"/>
        <v>7.3</v>
      </c>
      <c r="F166" s="24"/>
      <c r="G166" s="24"/>
      <c r="H166" s="24">
        <v>7.3</v>
      </c>
      <c r="I166" s="4"/>
      <c r="J166" s="4"/>
      <c r="K166" s="4"/>
      <c r="M166" s="33">
        <f t="shared" si="8"/>
        <v>0</v>
      </c>
      <c r="N166" s="33"/>
      <c r="U166" s="4"/>
      <c r="V166" s="4"/>
      <c r="W166" s="4"/>
      <c r="X166" s="4"/>
    </row>
    <row r="167" spans="1:24" ht="25.5">
      <c r="A167" s="56" t="s">
        <v>379</v>
      </c>
      <c r="B167" s="35"/>
      <c r="C167" s="38" t="s">
        <v>335</v>
      </c>
      <c r="D167" s="1" t="s">
        <v>80</v>
      </c>
      <c r="E167" s="24">
        <f t="shared" si="7"/>
        <v>68</v>
      </c>
      <c r="F167" s="24"/>
      <c r="G167" s="61"/>
      <c r="H167" s="24">
        <v>68</v>
      </c>
      <c r="I167" s="4">
        <f t="shared" si="9"/>
        <v>0</v>
      </c>
      <c r="J167" s="4"/>
      <c r="K167" s="4"/>
      <c r="M167" s="33">
        <f t="shared" si="8"/>
        <v>0</v>
      </c>
      <c r="N167" s="33"/>
      <c r="U167" s="4"/>
      <c r="V167" s="4"/>
      <c r="W167" s="4"/>
      <c r="X167" s="4"/>
    </row>
    <row r="168" spans="1:24" ht="39.75" customHeight="1">
      <c r="A168" s="56" t="s">
        <v>380</v>
      </c>
      <c r="B168" s="1"/>
      <c r="C168" s="18" t="s">
        <v>179</v>
      </c>
      <c r="D168" s="14" t="s">
        <v>80</v>
      </c>
      <c r="E168" s="24">
        <f t="shared" si="7"/>
        <v>19.1</v>
      </c>
      <c r="F168" s="24">
        <v>5.7</v>
      </c>
      <c r="G168" s="24"/>
      <c r="H168" s="24">
        <v>13.4</v>
      </c>
      <c r="I168" s="4">
        <f t="shared" si="9"/>
        <v>0</v>
      </c>
      <c r="J168" s="4"/>
      <c r="K168" s="4"/>
      <c r="M168" s="33">
        <f t="shared" si="8"/>
        <v>0</v>
      </c>
      <c r="N168" s="33"/>
      <c r="U168" s="4"/>
      <c r="V168" s="4"/>
      <c r="W168" s="4"/>
      <c r="X168" s="4"/>
    </row>
    <row r="169" spans="1:24" ht="25.5">
      <c r="A169" s="56" t="s">
        <v>381</v>
      </c>
      <c r="B169" s="1"/>
      <c r="C169" s="18" t="s">
        <v>336</v>
      </c>
      <c r="D169" s="14" t="s">
        <v>80</v>
      </c>
      <c r="E169" s="24">
        <f t="shared" si="7"/>
        <v>35</v>
      </c>
      <c r="F169" s="24"/>
      <c r="G169" s="24"/>
      <c r="H169" s="24">
        <v>35</v>
      </c>
      <c r="I169" s="4"/>
      <c r="J169" s="4"/>
      <c r="K169" s="4"/>
      <c r="M169" s="33">
        <f t="shared" si="8"/>
        <v>0</v>
      </c>
      <c r="N169" s="33"/>
      <c r="U169" s="4"/>
      <c r="V169" s="4"/>
      <c r="W169" s="4"/>
      <c r="X169" s="4"/>
    </row>
    <row r="170" spans="1:24" ht="31.5" customHeight="1">
      <c r="A170" s="56" t="s">
        <v>278</v>
      </c>
      <c r="B170" s="1"/>
      <c r="C170" s="16" t="s">
        <v>5</v>
      </c>
      <c r="D170" s="1" t="s">
        <v>82</v>
      </c>
      <c r="E170" s="24">
        <f t="shared" si="7"/>
        <v>5.3</v>
      </c>
      <c r="F170" s="24">
        <v>5.3</v>
      </c>
      <c r="G170" s="24">
        <v>5</v>
      </c>
      <c r="H170" s="24"/>
      <c r="I170" s="4">
        <f t="shared" si="9"/>
        <v>-2.7</v>
      </c>
      <c r="J170" s="4">
        <v>-2.7</v>
      </c>
      <c r="K170" s="4">
        <v>-2.6</v>
      </c>
      <c r="M170" s="33">
        <f t="shared" si="8"/>
        <v>0</v>
      </c>
      <c r="N170" s="33"/>
      <c r="P170" s="50"/>
      <c r="Q170" s="40"/>
      <c r="U170" s="4"/>
      <c r="V170" s="4"/>
      <c r="W170" s="4"/>
      <c r="X170" s="4"/>
    </row>
    <row r="171" spans="1:24" ht="30" customHeight="1">
      <c r="A171" s="12">
        <v>77</v>
      </c>
      <c r="B171" s="11" t="s">
        <v>104</v>
      </c>
      <c r="C171" s="41" t="s">
        <v>105</v>
      </c>
      <c r="D171" s="1"/>
      <c r="E171" s="26">
        <f t="shared" si="7"/>
        <v>1058.3000000000002</v>
      </c>
      <c r="F171" s="26">
        <f>+F172+F174+F178</f>
        <v>147.8</v>
      </c>
      <c r="G171" s="26">
        <f>+G172+G174+G178</f>
        <v>0</v>
      </c>
      <c r="H171" s="26">
        <f>+H172+H174+H178</f>
        <v>910.5000000000001</v>
      </c>
      <c r="I171" s="4">
        <f t="shared" si="9"/>
        <v>0</v>
      </c>
      <c r="J171" s="4"/>
      <c r="K171" s="4"/>
      <c r="M171" s="33">
        <f t="shared" si="8"/>
        <v>0</v>
      </c>
      <c r="N171" s="33"/>
      <c r="U171" s="4"/>
      <c r="V171" s="4"/>
      <c r="W171" s="4"/>
      <c r="X171" s="4"/>
    </row>
    <row r="172" spans="1:24" ht="21" customHeight="1">
      <c r="A172" s="83">
        <v>78</v>
      </c>
      <c r="B172" s="92"/>
      <c r="C172" s="68" t="s">
        <v>286</v>
      </c>
      <c r="D172" s="6"/>
      <c r="E172" s="24">
        <f t="shared" si="7"/>
        <v>45.7</v>
      </c>
      <c r="F172" s="24">
        <v>45.7</v>
      </c>
      <c r="G172" s="26"/>
      <c r="H172" s="26"/>
      <c r="I172" s="4">
        <f t="shared" si="9"/>
        <v>0</v>
      </c>
      <c r="J172" s="4"/>
      <c r="K172" s="4"/>
      <c r="M172" s="33">
        <f t="shared" si="8"/>
        <v>0</v>
      </c>
      <c r="N172" s="33"/>
      <c r="U172" s="4"/>
      <c r="V172" s="4"/>
      <c r="W172" s="4"/>
      <c r="X172" s="4"/>
    </row>
    <row r="173" spans="1:24" ht="38.25">
      <c r="A173" s="91"/>
      <c r="B173" s="93"/>
      <c r="C173" s="16" t="s">
        <v>294</v>
      </c>
      <c r="D173" s="1" t="s">
        <v>106</v>
      </c>
      <c r="E173" s="24">
        <f t="shared" si="7"/>
        <v>45.7</v>
      </c>
      <c r="F173" s="24">
        <v>45.7</v>
      </c>
      <c r="G173" s="24"/>
      <c r="H173" s="24"/>
      <c r="I173" s="4">
        <f t="shared" si="9"/>
        <v>0</v>
      </c>
      <c r="J173" s="4"/>
      <c r="K173" s="4"/>
      <c r="M173" s="33">
        <f t="shared" si="8"/>
        <v>0</v>
      </c>
      <c r="N173" s="33"/>
      <c r="U173" s="4"/>
      <c r="V173" s="4"/>
      <c r="W173" s="4"/>
      <c r="X173" s="4"/>
    </row>
    <row r="174" spans="1:24" ht="21" customHeight="1">
      <c r="A174" s="12">
        <v>79</v>
      </c>
      <c r="B174" s="1"/>
      <c r="C174" s="18" t="s">
        <v>253</v>
      </c>
      <c r="D174" s="1"/>
      <c r="E174" s="24">
        <f t="shared" si="7"/>
        <v>76</v>
      </c>
      <c r="F174" s="24">
        <f>+F175+F176+F177</f>
        <v>76</v>
      </c>
      <c r="G174" s="24">
        <f>+G175+G176+G177</f>
        <v>0</v>
      </c>
      <c r="H174" s="24">
        <f>+H175+H176+H177</f>
        <v>0</v>
      </c>
      <c r="I174" s="4">
        <f t="shared" si="9"/>
        <v>0</v>
      </c>
      <c r="J174" s="4"/>
      <c r="K174" s="4"/>
      <c r="M174" s="33">
        <f t="shared" si="8"/>
        <v>0</v>
      </c>
      <c r="N174" s="33"/>
      <c r="U174" s="4"/>
      <c r="V174" s="4"/>
      <c r="W174" s="4"/>
      <c r="X174" s="4"/>
    </row>
    <row r="175" spans="1:24" ht="27" customHeight="1">
      <c r="A175" s="58" t="s">
        <v>382</v>
      </c>
      <c r="B175" s="1"/>
      <c r="C175" s="28" t="s">
        <v>300</v>
      </c>
      <c r="D175" s="1" t="s">
        <v>106</v>
      </c>
      <c r="E175" s="24">
        <f t="shared" si="7"/>
        <v>45</v>
      </c>
      <c r="F175" s="24">
        <v>45</v>
      </c>
      <c r="G175" s="24"/>
      <c r="H175" s="24"/>
      <c r="I175" s="4">
        <f t="shared" si="9"/>
        <v>0</v>
      </c>
      <c r="J175" s="4"/>
      <c r="K175" s="4"/>
      <c r="M175" s="33">
        <f t="shared" si="8"/>
        <v>0</v>
      </c>
      <c r="N175" s="33"/>
      <c r="U175" s="4"/>
      <c r="V175" s="4"/>
      <c r="W175" s="4"/>
      <c r="X175" s="4"/>
    </row>
    <row r="176" spans="1:24" ht="27" customHeight="1">
      <c r="A176" s="58" t="s">
        <v>383</v>
      </c>
      <c r="B176" s="1"/>
      <c r="C176" s="28" t="s">
        <v>155</v>
      </c>
      <c r="D176" s="1" t="s">
        <v>158</v>
      </c>
      <c r="E176" s="24">
        <f t="shared" si="7"/>
        <v>30</v>
      </c>
      <c r="F176" s="24">
        <v>30</v>
      </c>
      <c r="G176" s="24"/>
      <c r="H176" s="24"/>
      <c r="I176" s="4">
        <f t="shared" si="9"/>
        <v>0</v>
      </c>
      <c r="J176" s="4"/>
      <c r="K176" s="4"/>
      <c r="M176" s="33">
        <f t="shared" si="8"/>
        <v>0</v>
      </c>
      <c r="N176" s="33"/>
      <c r="U176" s="4"/>
      <c r="V176" s="4"/>
      <c r="W176" s="4"/>
      <c r="X176" s="4"/>
    </row>
    <row r="177" spans="1:24" ht="25.5">
      <c r="A177" s="58" t="s">
        <v>384</v>
      </c>
      <c r="B177" s="1"/>
      <c r="C177" s="19" t="s">
        <v>295</v>
      </c>
      <c r="D177" s="14" t="s">
        <v>190</v>
      </c>
      <c r="E177" s="24">
        <f t="shared" si="7"/>
        <v>1</v>
      </c>
      <c r="F177" s="24">
        <v>1</v>
      </c>
      <c r="G177" s="24"/>
      <c r="H177" s="24"/>
      <c r="I177" s="4">
        <f t="shared" si="9"/>
        <v>0</v>
      </c>
      <c r="J177" s="4"/>
      <c r="K177" s="4"/>
      <c r="M177" s="33">
        <f t="shared" si="8"/>
        <v>0</v>
      </c>
      <c r="N177" s="33"/>
      <c r="U177" s="4"/>
      <c r="V177" s="4"/>
      <c r="W177" s="4"/>
      <c r="X177" s="4"/>
    </row>
    <row r="178" spans="1:24" ht="41.25" customHeight="1">
      <c r="A178" s="58" t="s">
        <v>385</v>
      </c>
      <c r="B178" s="1"/>
      <c r="C178" s="37" t="s">
        <v>318</v>
      </c>
      <c r="D178" s="11"/>
      <c r="E178" s="60">
        <f>+F178+H178</f>
        <v>936.6000000000001</v>
      </c>
      <c r="F178" s="60">
        <f>+F179+F180+F181+F182+F183+F184+F185+F186+F187+F188+F189+F190+F191</f>
        <v>26.099999999999998</v>
      </c>
      <c r="G178" s="60">
        <f>+G179+G180+G181+G182+G183+G184+G185+G186+G187+G188+G189+G190+G191</f>
        <v>0</v>
      </c>
      <c r="H178" s="60">
        <f>+H179+H180+H181+H182+H183+H184+H185+H186+H187+H188+H189+H190+H191</f>
        <v>910.5000000000001</v>
      </c>
      <c r="I178" s="4">
        <f t="shared" si="9"/>
        <v>0</v>
      </c>
      <c r="J178" s="4"/>
      <c r="K178" s="4"/>
      <c r="M178" s="33">
        <f t="shared" si="8"/>
        <v>0</v>
      </c>
      <c r="N178" s="33"/>
      <c r="U178" s="4"/>
      <c r="V178" s="4"/>
      <c r="W178" s="4"/>
      <c r="X178" s="4"/>
    </row>
    <row r="179" spans="1:24" ht="28.5" customHeight="1">
      <c r="A179" s="58" t="s">
        <v>386</v>
      </c>
      <c r="B179" s="1"/>
      <c r="C179" s="19" t="s">
        <v>301</v>
      </c>
      <c r="D179" s="14" t="s">
        <v>186</v>
      </c>
      <c r="E179" s="24">
        <f aca="true" t="shared" si="10" ref="E179:E238">+F179+H179</f>
        <v>10</v>
      </c>
      <c r="F179" s="24">
        <v>10</v>
      </c>
      <c r="G179" s="24"/>
      <c r="H179" s="24"/>
      <c r="I179" s="4">
        <f t="shared" si="9"/>
        <v>0</v>
      </c>
      <c r="J179" s="4"/>
      <c r="K179" s="4"/>
      <c r="M179" s="33">
        <f t="shared" si="8"/>
        <v>0</v>
      </c>
      <c r="N179" s="33"/>
      <c r="U179" s="4"/>
      <c r="V179" s="4"/>
      <c r="W179" s="4"/>
      <c r="X179" s="4"/>
    </row>
    <row r="180" spans="1:24" ht="38.25">
      <c r="A180" s="58" t="s">
        <v>387</v>
      </c>
      <c r="B180" s="15"/>
      <c r="C180" s="19" t="s">
        <v>302</v>
      </c>
      <c r="D180" s="15" t="s">
        <v>132</v>
      </c>
      <c r="E180" s="24">
        <f t="shared" si="10"/>
        <v>341</v>
      </c>
      <c r="F180" s="24"/>
      <c r="G180" s="24"/>
      <c r="H180" s="24">
        <v>341</v>
      </c>
      <c r="I180" s="4">
        <f t="shared" si="9"/>
        <v>0</v>
      </c>
      <c r="J180" s="4"/>
      <c r="K180" s="4"/>
      <c r="L180" s="4"/>
      <c r="M180" s="33">
        <f t="shared" si="8"/>
        <v>0</v>
      </c>
      <c r="N180" s="33"/>
      <c r="U180" s="4"/>
      <c r="V180" s="4"/>
      <c r="W180" s="4"/>
      <c r="X180" s="4"/>
    </row>
    <row r="181" spans="1:24" ht="25.5">
      <c r="A181" s="58" t="s">
        <v>388</v>
      </c>
      <c r="B181" s="15"/>
      <c r="C181" s="28" t="s">
        <v>269</v>
      </c>
      <c r="D181" s="15" t="s">
        <v>80</v>
      </c>
      <c r="E181" s="24">
        <f>+F181+H181</f>
        <v>43</v>
      </c>
      <c r="F181" s="24"/>
      <c r="G181" s="24"/>
      <c r="H181" s="24">
        <v>43</v>
      </c>
      <c r="I181" s="4">
        <f>+J181+L181</f>
        <v>-41</v>
      </c>
      <c r="J181" s="4">
        <v>-1</v>
      </c>
      <c r="K181" s="4"/>
      <c r="L181" s="2">
        <v>-40</v>
      </c>
      <c r="M181" s="33">
        <f t="shared" si="8"/>
        <v>0</v>
      </c>
      <c r="N181" s="33"/>
      <c r="U181" s="4"/>
      <c r="V181" s="4"/>
      <c r="W181" s="4"/>
      <c r="X181" s="4"/>
    </row>
    <row r="182" spans="1:24" ht="51">
      <c r="A182" s="58" t="s">
        <v>389</v>
      </c>
      <c r="B182" s="23"/>
      <c r="C182" s="28" t="s">
        <v>307</v>
      </c>
      <c r="D182" s="1" t="s">
        <v>116</v>
      </c>
      <c r="E182" s="24">
        <f>+F182+H182</f>
        <v>2</v>
      </c>
      <c r="F182" s="30">
        <f>2</f>
        <v>2</v>
      </c>
      <c r="G182" s="30"/>
      <c r="H182" s="30"/>
      <c r="I182" s="4">
        <f>+J182+L182</f>
        <v>-1.5</v>
      </c>
      <c r="L182" s="2">
        <v>-1.5</v>
      </c>
      <c r="M182" s="33">
        <f t="shared" si="8"/>
        <v>0</v>
      </c>
      <c r="U182" s="4"/>
      <c r="V182" s="4"/>
      <c r="W182" s="4"/>
      <c r="X182" s="4"/>
    </row>
    <row r="183" spans="1:24" ht="70.5" customHeight="1">
      <c r="A183" s="58" t="s">
        <v>390</v>
      </c>
      <c r="B183" s="1"/>
      <c r="C183" s="19" t="s">
        <v>270</v>
      </c>
      <c r="D183" s="1" t="s">
        <v>132</v>
      </c>
      <c r="E183" s="24">
        <f t="shared" si="10"/>
        <v>3</v>
      </c>
      <c r="F183" s="24">
        <v>3</v>
      </c>
      <c r="G183" s="24"/>
      <c r="H183" s="24"/>
      <c r="I183" s="4">
        <f t="shared" si="9"/>
        <v>0</v>
      </c>
      <c r="J183" s="4"/>
      <c r="K183" s="4"/>
      <c r="M183" s="33">
        <f t="shared" si="8"/>
        <v>0</v>
      </c>
      <c r="N183" s="33"/>
      <c r="U183" s="4"/>
      <c r="V183" s="4"/>
      <c r="W183" s="4"/>
      <c r="X183" s="4"/>
    </row>
    <row r="184" spans="1:24" ht="25.5">
      <c r="A184" s="58" t="s">
        <v>391</v>
      </c>
      <c r="B184" s="1"/>
      <c r="C184" s="19" t="s">
        <v>271</v>
      </c>
      <c r="D184" s="14" t="s">
        <v>116</v>
      </c>
      <c r="E184" s="24">
        <f t="shared" si="10"/>
        <v>5</v>
      </c>
      <c r="F184" s="24">
        <v>5</v>
      </c>
      <c r="G184" s="24"/>
      <c r="H184" s="24"/>
      <c r="I184" s="4">
        <f t="shared" si="9"/>
        <v>0</v>
      </c>
      <c r="J184" s="4"/>
      <c r="K184" s="4"/>
      <c r="M184" s="33">
        <f t="shared" si="8"/>
        <v>0</v>
      </c>
      <c r="N184" s="33"/>
      <c r="U184" s="4"/>
      <c r="V184" s="4"/>
      <c r="W184" s="4"/>
      <c r="X184" s="4"/>
    </row>
    <row r="185" spans="1:24" ht="26.25" customHeight="1">
      <c r="A185" s="58" t="s">
        <v>392</v>
      </c>
      <c r="B185" s="1"/>
      <c r="C185" s="19" t="s">
        <v>303</v>
      </c>
      <c r="D185" s="1" t="s">
        <v>116</v>
      </c>
      <c r="E185" s="24">
        <f t="shared" si="10"/>
        <v>1.5</v>
      </c>
      <c r="F185" s="24">
        <v>1.5</v>
      </c>
      <c r="G185" s="24"/>
      <c r="H185" s="24"/>
      <c r="I185" s="4">
        <f t="shared" si="9"/>
        <v>0</v>
      </c>
      <c r="J185" s="4"/>
      <c r="K185" s="4"/>
      <c r="M185" s="33">
        <f t="shared" si="8"/>
        <v>0</v>
      </c>
      <c r="N185" s="33"/>
      <c r="U185" s="4"/>
      <c r="V185" s="4"/>
      <c r="W185" s="4"/>
      <c r="X185" s="4"/>
    </row>
    <row r="186" spans="1:24" ht="51">
      <c r="A186" s="58" t="s">
        <v>393</v>
      </c>
      <c r="B186" s="15"/>
      <c r="C186" s="19" t="s">
        <v>198</v>
      </c>
      <c r="D186" s="15" t="s">
        <v>106</v>
      </c>
      <c r="E186" s="24">
        <f t="shared" si="10"/>
        <v>422.4</v>
      </c>
      <c r="F186" s="24">
        <v>1.2</v>
      </c>
      <c r="G186" s="24"/>
      <c r="H186" s="24">
        <v>421.2</v>
      </c>
      <c r="I186" s="4">
        <f t="shared" si="9"/>
        <v>0</v>
      </c>
      <c r="J186" s="4"/>
      <c r="K186" s="4"/>
      <c r="M186" s="33">
        <f t="shared" si="8"/>
        <v>0</v>
      </c>
      <c r="N186" s="4"/>
      <c r="U186" s="4"/>
      <c r="V186" s="4"/>
      <c r="W186" s="4"/>
      <c r="X186" s="4"/>
    </row>
    <row r="187" spans="1:24" ht="25.5">
      <c r="A187" s="58" t="s">
        <v>394</v>
      </c>
      <c r="B187" s="15"/>
      <c r="C187" s="19" t="s">
        <v>150</v>
      </c>
      <c r="D187" s="15" t="s">
        <v>191</v>
      </c>
      <c r="E187" s="24">
        <f t="shared" si="10"/>
        <v>11.1</v>
      </c>
      <c r="F187" s="24">
        <v>0.4</v>
      </c>
      <c r="G187" s="24"/>
      <c r="H187" s="24">
        <v>10.7</v>
      </c>
      <c r="I187" s="4">
        <f t="shared" si="9"/>
        <v>0</v>
      </c>
      <c r="J187" s="4"/>
      <c r="K187" s="4"/>
      <c r="M187" s="33">
        <f t="shared" si="8"/>
        <v>0</v>
      </c>
      <c r="N187" s="33"/>
      <c r="U187" s="4"/>
      <c r="V187" s="4"/>
      <c r="W187" s="4"/>
      <c r="X187" s="4"/>
    </row>
    <row r="188" spans="1:24" ht="25.5">
      <c r="A188" s="58" t="s">
        <v>395</v>
      </c>
      <c r="B188" s="15"/>
      <c r="C188" s="19" t="s">
        <v>337</v>
      </c>
      <c r="D188" s="15" t="s">
        <v>106</v>
      </c>
      <c r="E188" s="24">
        <f t="shared" si="10"/>
        <v>16</v>
      </c>
      <c r="F188" s="24"/>
      <c r="G188" s="24"/>
      <c r="H188" s="24">
        <v>16</v>
      </c>
      <c r="I188" s="4"/>
      <c r="J188" s="4"/>
      <c r="K188" s="4"/>
      <c r="M188" s="33">
        <f t="shared" si="8"/>
        <v>0</v>
      </c>
      <c r="N188" s="33"/>
      <c r="U188" s="4"/>
      <c r="V188" s="4"/>
      <c r="W188" s="4"/>
      <c r="X188" s="4"/>
    </row>
    <row r="189" spans="1:24" ht="27.75" customHeight="1">
      <c r="A189" s="58" t="s">
        <v>396</v>
      </c>
      <c r="B189" s="15"/>
      <c r="C189" s="19" t="s">
        <v>180</v>
      </c>
      <c r="D189" s="15" t="s">
        <v>117</v>
      </c>
      <c r="E189" s="24">
        <f t="shared" si="10"/>
        <v>60.2</v>
      </c>
      <c r="F189" s="24"/>
      <c r="G189" s="24"/>
      <c r="H189" s="24">
        <v>60.2</v>
      </c>
      <c r="I189" s="4">
        <f t="shared" si="9"/>
        <v>66</v>
      </c>
      <c r="J189" s="4"/>
      <c r="K189" s="4"/>
      <c r="L189" s="2">
        <v>66</v>
      </c>
      <c r="M189" s="33">
        <f t="shared" si="8"/>
        <v>0</v>
      </c>
      <c r="N189" s="33"/>
      <c r="U189" s="4"/>
      <c r="V189" s="4"/>
      <c r="W189" s="4"/>
      <c r="X189" s="4"/>
    </row>
    <row r="190" spans="1:24" ht="38.25">
      <c r="A190" s="58" t="s">
        <v>397</v>
      </c>
      <c r="B190" s="1"/>
      <c r="C190" s="19" t="s">
        <v>210</v>
      </c>
      <c r="D190" s="1" t="s">
        <v>106</v>
      </c>
      <c r="E190" s="24">
        <f t="shared" si="10"/>
        <v>11.4</v>
      </c>
      <c r="F190" s="24">
        <v>3</v>
      </c>
      <c r="G190" s="24"/>
      <c r="H190" s="24">
        <v>8.4</v>
      </c>
      <c r="I190" s="4">
        <f>+J190+L190</f>
        <v>-4</v>
      </c>
      <c r="J190" s="4"/>
      <c r="K190" s="4"/>
      <c r="L190" s="4">
        <v>-4</v>
      </c>
      <c r="M190" s="33">
        <f t="shared" si="8"/>
        <v>0</v>
      </c>
      <c r="N190" s="33"/>
      <c r="U190" s="4"/>
      <c r="V190" s="4"/>
      <c r="W190" s="4"/>
      <c r="X190" s="4"/>
    </row>
    <row r="191" spans="1:24" ht="25.5">
      <c r="A191" s="58" t="s">
        <v>398</v>
      </c>
      <c r="B191" s="15"/>
      <c r="C191" s="19" t="s">
        <v>338</v>
      </c>
      <c r="D191" s="1" t="s">
        <v>132</v>
      </c>
      <c r="E191" s="24">
        <f t="shared" si="10"/>
        <v>10</v>
      </c>
      <c r="F191" s="24"/>
      <c r="G191" s="24"/>
      <c r="H191" s="24">
        <f>20-10</f>
        <v>10</v>
      </c>
      <c r="I191" s="4"/>
      <c r="J191" s="4"/>
      <c r="K191" s="4"/>
      <c r="L191" s="4"/>
      <c r="M191" s="33">
        <f t="shared" si="8"/>
        <v>0</v>
      </c>
      <c r="N191" s="33"/>
      <c r="U191" s="4"/>
      <c r="V191" s="4"/>
      <c r="W191" s="4"/>
      <c r="X191" s="4"/>
    </row>
    <row r="192" spans="1:24" ht="27" customHeight="1">
      <c r="A192" s="12">
        <v>80</v>
      </c>
      <c r="B192" s="11" t="s">
        <v>84</v>
      </c>
      <c r="C192" s="42" t="s">
        <v>85</v>
      </c>
      <c r="D192" s="10"/>
      <c r="E192" s="27">
        <f t="shared" si="10"/>
        <v>2951.9</v>
      </c>
      <c r="F192" s="27">
        <f>+F193+F227+F228+F229+F230+F231+F232+F233+F234+F235+F236+F237</f>
        <v>599.3000000000001</v>
      </c>
      <c r="G192" s="27">
        <f>+G228+G229+G231+G230+G227+G232+G233+G235+G234+G236+G237+G193</f>
        <v>0</v>
      </c>
      <c r="H192" s="27">
        <f>+H228+H229+H231+H230+H227+H232+H233+H235+H234+H236+H237+H193</f>
        <v>2352.6</v>
      </c>
      <c r="I192" s="4">
        <f t="shared" si="9"/>
        <v>0</v>
      </c>
      <c r="J192" s="4"/>
      <c r="K192" s="4"/>
      <c r="M192" s="33">
        <f t="shared" si="8"/>
        <v>0</v>
      </c>
      <c r="N192" s="33"/>
      <c r="U192" s="4"/>
      <c r="V192" s="4"/>
      <c r="W192" s="4"/>
      <c r="X192" s="4"/>
    </row>
    <row r="193" spans="1:24" ht="12" customHeight="1">
      <c r="A193" s="12">
        <v>81</v>
      </c>
      <c r="B193" s="1"/>
      <c r="C193" s="18" t="s">
        <v>272</v>
      </c>
      <c r="D193" s="14"/>
      <c r="E193" s="24">
        <f t="shared" si="10"/>
        <v>2635.7</v>
      </c>
      <c r="F193" s="24">
        <f>F194</f>
        <v>283.1</v>
      </c>
      <c r="G193" s="24">
        <f>G194</f>
        <v>0</v>
      </c>
      <c r="H193" s="24">
        <f>H194</f>
        <v>2352.6</v>
      </c>
      <c r="I193" s="4">
        <f t="shared" si="9"/>
        <v>0</v>
      </c>
      <c r="J193" s="4"/>
      <c r="K193" s="4"/>
      <c r="M193" s="33">
        <f t="shared" si="8"/>
        <v>0</v>
      </c>
      <c r="N193" s="33"/>
      <c r="U193" s="4"/>
      <c r="V193" s="4"/>
      <c r="W193" s="4"/>
      <c r="X193" s="4"/>
    </row>
    <row r="194" spans="1:24" ht="39" customHeight="1">
      <c r="A194" s="56" t="s">
        <v>399</v>
      </c>
      <c r="B194" s="1"/>
      <c r="C194" s="37" t="s">
        <v>318</v>
      </c>
      <c r="D194" s="14"/>
      <c r="E194" s="60">
        <f t="shared" si="10"/>
        <v>2635.7</v>
      </c>
      <c r="F194" s="60">
        <f>+F195+F196+F197+F198+F199+F200+F202+F203+F204+F205+F206+F207+F208+F209+F210+F211+F212+F213+F214+F215+F216+F217+F218+F219+F220+F221+F222+F223+F224+F225+F226+F201</f>
        <v>283.1</v>
      </c>
      <c r="G194" s="60">
        <f>+G195+G196+G197+G198+G199+G200+G202+G203+G204+G205+G206+G207+G208+G209+G210+G211+G212+G213+G214+G215+G216+G217+G218+G219+G220+G221+G222+G223+G224+G225+G226+G201</f>
        <v>0</v>
      </c>
      <c r="H194" s="60">
        <f>+H195+H196+H197+H198+H199+H200+H202+H203+H204+H205+H206+H207+H208+H209+H210+H211+H212+H213+H214+H215+H216+H217+H218+H219+H220+H221+H222+H223+H224+H225+H226+H201</f>
        <v>2352.6</v>
      </c>
      <c r="I194" s="4">
        <f t="shared" si="9"/>
        <v>0</v>
      </c>
      <c r="J194" s="4"/>
      <c r="K194" s="4"/>
      <c r="M194" s="33">
        <f t="shared" si="8"/>
        <v>0</v>
      </c>
      <c r="N194" s="33"/>
      <c r="U194" s="4"/>
      <c r="V194" s="4"/>
      <c r="W194" s="4"/>
      <c r="X194" s="4"/>
    </row>
    <row r="195" spans="1:24" ht="27" customHeight="1">
      <c r="A195" s="56" t="s">
        <v>431</v>
      </c>
      <c r="B195" s="1"/>
      <c r="C195" s="38" t="s">
        <v>133</v>
      </c>
      <c r="D195" s="14" t="s">
        <v>135</v>
      </c>
      <c r="E195" s="24">
        <f t="shared" si="10"/>
        <v>85</v>
      </c>
      <c r="F195" s="24">
        <v>40</v>
      </c>
      <c r="G195" s="24"/>
      <c r="H195" s="24">
        <v>45</v>
      </c>
      <c r="I195" s="4">
        <f t="shared" si="9"/>
        <v>0</v>
      </c>
      <c r="J195" s="4"/>
      <c r="K195" s="4"/>
      <c r="M195" s="33">
        <f t="shared" si="8"/>
        <v>0</v>
      </c>
      <c r="N195" s="33"/>
      <c r="U195" s="4"/>
      <c r="V195" s="4"/>
      <c r="W195" s="4"/>
      <c r="X195" s="4"/>
    </row>
    <row r="196" spans="1:24" ht="12.75">
      <c r="A196" s="56" t="s">
        <v>432</v>
      </c>
      <c r="B196" s="1"/>
      <c r="C196" s="38" t="s">
        <v>273</v>
      </c>
      <c r="D196" s="14" t="s">
        <v>135</v>
      </c>
      <c r="E196" s="24">
        <f t="shared" si="10"/>
        <v>17.5</v>
      </c>
      <c r="F196" s="24"/>
      <c r="G196" s="24"/>
      <c r="H196" s="24">
        <v>17.5</v>
      </c>
      <c r="I196" s="4">
        <f t="shared" si="9"/>
        <v>0</v>
      </c>
      <c r="J196" s="4"/>
      <c r="K196" s="4"/>
      <c r="M196" s="33">
        <f t="shared" si="8"/>
        <v>0</v>
      </c>
      <c r="N196" s="33"/>
      <c r="U196" s="4"/>
      <c r="V196" s="4"/>
      <c r="W196" s="4"/>
      <c r="X196" s="4"/>
    </row>
    <row r="197" spans="1:24" ht="12.75">
      <c r="A197" s="56" t="s">
        <v>433</v>
      </c>
      <c r="B197" s="1"/>
      <c r="C197" s="38" t="s">
        <v>274</v>
      </c>
      <c r="D197" s="14" t="s">
        <v>135</v>
      </c>
      <c r="E197" s="24">
        <f t="shared" si="10"/>
        <v>17.5</v>
      </c>
      <c r="F197" s="24"/>
      <c r="G197" s="24"/>
      <c r="H197" s="24">
        <v>17.5</v>
      </c>
      <c r="I197" s="4">
        <f t="shared" si="9"/>
        <v>0</v>
      </c>
      <c r="J197" s="4"/>
      <c r="K197" s="4"/>
      <c r="M197" s="33">
        <f t="shared" si="8"/>
        <v>0</v>
      </c>
      <c r="N197" s="33"/>
      <c r="U197" s="4"/>
      <c r="V197" s="4"/>
      <c r="W197" s="4"/>
      <c r="X197" s="4"/>
    </row>
    <row r="198" spans="1:24" ht="27" customHeight="1">
      <c r="A198" s="56" t="s">
        <v>434</v>
      </c>
      <c r="B198" s="1"/>
      <c r="C198" s="19" t="s">
        <v>127</v>
      </c>
      <c r="D198" s="14" t="s">
        <v>32</v>
      </c>
      <c r="E198" s="24">
        <f t="shared" si="10"/>
        <v>20</v>
      </c>
      <c r="F198" s="24">
        <v>20</v>
      </c>
      <c r="G198" s="24"/>
      <c r="H198" s="24"/>
      <c r="I198" s="4">
        <f t="shared" si="9"/>
        <v>0</v>
      </c>
      <c r="J198" s="4"/>
      <c r="K198" s="4"/>
      <c r="M198" s="33">
        <f t="shared" si="8"/>
        <v>0</v>
      </c>
      <c r="N198" s="33"/>
      <c r="U198" s="4"/>
      <c r="V198" s="4"/>
      <c r="W198" s="4"/>
      <c r="X198" s="4"/>
    </row>
    <row r="199" spans="1:24" ht="39.75" customHeight="1">
      <c r="A199" s="56" t="s">
        <v>435</v>
      </c>
      <c r="B199" s="1"/>
      <c r="C199" s="18" t="s">
        <v>151</v>
      </c>
      <c r="D199" s="14" t="s">
        <v>135</v>
      </c>
      <c r="E199" s="24">
        <f t="shared" si="10"/>
        <v>20</v>
      </c>
      <c r="F199" s="24">
        <v>20</v>
      </c>
      <c r="G199" s="24"/>
      <c r="H199" s="24"/>
      <c r="I199" s="4">
        <f t="shared" si="9"/>
        <v>0</v>
      </c>
      <c r="J199" s="4"/>
      <c r="K199" s="4"/>
      <c r="M199" s="33">
        <f aca="true" t="shared" si="11" ref="M199:M262">+N199+T199</f>
        <v>0</v>
      </c>
      <c r="N199" s="33"/>
      <c r="U199" s="4"/>
      <c r="V199" s="4"/>
      <c r="W199" s="4"/>
      <c r="X199" s="4"/>
    </row>
    <row r="200" spans="1:24" ht="12.75">
      <c r="A200" s="56" t="s">
        <v>436</v>
      </c>
      <c r="B200" s="1"/>
      <c r="C200" s="18" t="s">
        <v>339</v>
      </c>
      <c r="D200" s="14" t="s">
        <v>117</v>
      </c>
      <c r="E200" s="24">
        <f t="shared" si="10"/>
        <v>10</v>
      </c>
      <c r="F200" s="24">
        <v>10</v>
      </c>
      <c r="G200" s="24"/>
      <c r="H200" s="24"/>
      <c r="I200" s="4"/>
      <c r="J200" s="4"/>
      <c r="K200" s="4"/>
      <c r="M200" s="33">
        <f t="shared" si="11"/>
        <v>0</v>
      </c>
      <c r="N200" s="33"/>
      <c r="U200" s="4"/>
      <c r="V200" s="4"/>
      <c r="W200" s="4"/>
      <c r="X200" s="4"/>
    </row>
    <row r="201" spans="1:24" ht="12.75">
      <c r="A201" s="56" t="s">
        <v>437</v>
      </c>
      <c r="B201" s="1"/>
      <c r="C201" s="18" t="s">
        <v>430</v>
      </c>
      <c r="D201" s="14" t="s">
        <v>418</v>
      </c>
      <c r="E201" s="24">
        <f t="shared" si="10"/>
        <v>50</v>
      </c>
      <c r="F201" s="24"/>
      <c r="G201" s="24"/>
      <c r="H201" s="24">
        <f>50</f>
        <v>50</v>
      </c>
      <c r="I201" s="4"/>
      <c r="J201" s="4"/>
      <c r="K201" s="4"/>
      <c r="M201" s="33">
        <f t="shared" si="11"/>
        <v>50</v>
      </c>
      <c r="N201" s="33">
        <v>50</v>
      </c>
      <c r="U201" s="4"/>
      <c r="V201" s="4"/>
      <c r="W201" s="4"/>
      <c r="X201" s="4"/>
    </row>
    <row r="202" spans="1:24" ht="38.25">
      <c r="A202" s="56" t="s">
        <v>438</v>
      </c>
      <c r="B202" s="1"/>
      <c r="C202" s="18" t="s">
        <v>340</v>
      </c>
      <c r="D202" s="54" t="s">
        <v>417</v>
      </c>
      <c r="E202" s="24">
        <f t="shared" si="10"/>
        <v>60</v>
      </c>
      <c r="F202" s="24"/>
      <c r="G202" s="24"/>
      <c r="H202" s="24">
        <f>60</f>
        <v>60</v>
      </c>
      <c r="I202" s="4"/>
      <c r="J202" s="4"/>
      <c r="K202" s="4"/>
      <c r="M202" s="33">
        <f t="shared" si="11"/>
        <v>0</v>
      </c>
      <c r="N202" s="33"/>
      <c r="U202" s="4"/>
      <c r="V202" s="4"/>
      <c r="W202" s="4"/>
      <c r="X202" s="4"/>
    </row>
    <row r="203" spans="1:24" ht="39.75" customHeight="1">
      <c r="A203" s="56" t="s">
        <v>439</v>
      </c>
      <c r="B203" s="15"/>
      <c r="C203" s="16" t="s">
        <v>194</v>
      </c>
      <c r="D203" s="14" t="s">
        <v>187</v>
      </c>
      <c r="E203" s="24">
        <f t="shared" si="10"/>
        <v>208</v>
      </c>
      <c r="F203" s="24"/>
      <c r="G203" s="24"/>
      <c r="H203" s="24">
        <v>208</v>
      </c>
      <c r="I203" s="4">
        <f>+J203+L203</f>
        <v>0</v>
      </c>
      <c r="J203" s="4"/>
      <c r="K203" s="4"/>
      <c r="M203" s="33">
        <f t="shared" si="11"/>
        <v>0</v>
      </c>
      <c r="N203" s="33"/>
      <c r="U203" s="4"/>
      <c r="V203" s="4"/>
      <c r="W203" s="4"/>
      <c r="X203" s="4"/>
    </row>
    <row r="204" spans="1:24" ht="29.25" customHeight="1">
      <c r="A204" s="56" t="s">
        <v>440</v>
      </c>
      <c r="B204" s="1"/>
      <c r="C204" s="16" t="s">
        <v>152</v>
      </c>
      <c r="D204" s="62" t="s">
        <v>418</v>
      </c>
      <c r="E204" s="24">
        <f t="shared" si="10"/>
        <v>186</v>
      </c>
      <c r="F204" s="24"/>
      <c r="G204" s="24"/>
      <c r="H204" s="24">
        <v>186</v>
      </c>
      <c r="I204" s="4">
        <f>+J204+L204</f>
        <v>12.8</v>
      </c>
      <c r="J204" s="4"/>
      <c r="K204" s="4"/>
      <c r="L204" s="2">
        <v>12.8</v>
      </c>
      <c r="M204" s="33">
        <f t="shared" si="11"/>
        <v>0</v>
      </c>
      <c r="N204" s="43"/>
      <c r="U204" s="4"/>
      <c r="V204" s="4"/>
      <c r="W204" s="4"/>
      <c r="X204" s="4"/>
    </row>
    <row r="205" spans="1:24" ht="12.75">
      <c r="A205" s="56" t="s">
        <v>441</v>
      </c>
      <c r="B205" s="15"/>
      <c r="C205" s="16" t="s">
        <v>341</v>
      </c>
      <c r="D205" s="53" t="s">
        <v>418</v>
      </c>
      <c r="E205" s="24">
        <f t="shared" si="10"/>
        <v>20</v>
      </c>
      <c r="F205" s="24"/>
      <c r="G205" s="24"/>
      <c r="H205" s="24">
        <v>20</v>
      </c>
      <c r="I205" s="4"/>
      <c r="J205" s="4"/>
      <c r="K205" s="4"/>
      <c r="M205" s="33">
        <f t="shared" si="11"/>
        <v>0</v>
      </c>
      <c r="N205" s="53"/>
      <c r="U205" s="4"/>
      <c r="V205" s="4"/>
      <c r="W205" s="4"/>
      <c r="X205" s="4"/>
    </row>
    <row r="206" spans="1:24" ht="28.5" customHeight="1">
      <c r="A206" s="56" t="s">
        <v>442</v>
      </c>
      <c r="B206" s="1"/>
      <c r="C206" s="19" t="s">
        <v>128</v>
      </c>
      <c r="D206" s="14" t="s">
        <v>196</v>
      </c>
      <c r="E206" s="24">
        <f t="shared" si="10"/>
        <v>30</v>
      </c>
      <c r="F206" s="24">
        <v>30</v>
      </c>
      <c r="G206" s="24"/>
      <c r="H206" s="24"/>
      <c r="I206" s="4">
        <f>+J206+L206</f>
        <v>0</v>
      </c>
      <c r="J206" s="4"/>
      <c r="K206" s="4"/>
      <c r="M206" s="33">
        <f t="shared" si="11"/>
        <v>0</v>
      </c>
      <c r="N206" s="33"/>
      <c r="U206" s="4"/>
      <c r="V206" s="4"/>
      <c r="W206" s="4"/>
      <c r="X206" s="4"/>
    </row>
    <row r="207" spans="1:24" ht="12.75">
      <c r="A207" s="56" t="s">
        <v>443</v>
      </c>
      <c r="B207" s="1"/>
      <c r="C207" s="19" t="s">
        <v>129</v>
      </c>
      <c r="D207" s="14" t="s">
        <v>196</v>
      </c>
      <c r="E207" s="24">
        <f t="shared" si="10"/>
        <v>40</v>
      </c>
      <c r="F207" s="24">
        <v>40</v>
      </c>
      <c r="G207" s="24"/>
      <c r="H207" s="24"/>
      <c r="I207" s="4">
        <f>+J207+L207</f>
        <v>0</v>
      </c>
      <c r="J207" s="4"/>
      <c r="K207" s="4"/>
      <c r="M207" s="33">
        <f t="shared" si="11"/>
        <v>0</v>
      </c>
      <c r="N207" s="33"/>
      <c r="U207" s="4"/>
      <c r="V207" s="4"/>
      <c r="W207" s="4"/>
      <c r="X207" s="4"/>
    </row>
    <row r="208" spans="1:24" ht="38.25">
      <c r="A208" s="56" t="s">
        <v>444</v>
      </c>
      <c r="B208" s="15"/>
      <c r="C208" s="16" t="s">
        <v>342</v>
      </c>
      <c r="D208" s="54" t="s">
        <v>417</v>
      </c>
      <c r="E208" s="24">
        <f t="shared" si="10"/>
        <v>10</v>
      </c>
      <c r="F208" s="24"/>
      <c r="G208" s="24"/>
      <c r="H208" s="24">
        <v>10</v>
      </c>
      <c r="I208" s="4"/>
      <c r="J208" s="4"/>
      <c r="K208" s="4"/>
      <c r="M208" s="33">
        <f t="shared" si="11"/>
        <v>0</v>
      </c>
      <c r="N208" s="54"/>
      <c r="U208" s="4"/>
      <c r="V208" s="4"/>
      <c r="W208" s="4"/>
      <c r="X208" s="4"/>
    </row>
    <row r="209" spans="1:24" ht="25.5">
      <c r="A209" s="56" t="s">
        <v>445</v>
      </c>
      <c r="B209" s="15"/>
      <c r="C209" s="16" t="s">
        <v>275</v>
      </c>
      <c r="D209" s="54" t="s">
        <v>417</v>
      </c>
      <c r="E209" s="24">
        <f t="shared" si="10"/>
        <v>8.4</v>
      </c>
      <c r="F209" s="24"/>
      <c r="G209" s="24"/>
      <c r="H209" s="24">
        <v>8.4</v>
      </c>
      <c r="I209" s="4"/>
      <c r="J209" s="4"/>
      <c r="K209" s="4"/>
      <c r="M209" s="33">
        <f t="shared" si="11"/>
        <v>0</v>
      </c>
      <c r="N209" s="33"/>
      <c r="U209" s="4"/>
      <c r="V209" s="4"/>
      <c r="W209" s="4"/>
      <c r="X209" s="4"/>
    </row>
    <row r="210" spans="1:24" ht="25.5">
      <c r="A210" s="56" t="s">
        <v>446</v>
      </c>
      <c r="B210" s="15"/>
      <c r="C210" s="16" t="s">
        <v>343</v>
      </c>
      <c r="D210" s="54" t="s">
        <v>417</v>
      </c>
      <c r="E210" s="24">
        <f t="shared" si="10"/>
        <v>84.7</v>
      </c>
      <c r="F210" s="24"/>
      <c r="G210" s="24"/>
      <c r="H210" s="24">
        <v>84.7</v>
      </c>
      <c r="I210" s="4"/>
      <c r="J210" s="4"/>
      <c r="K210" s="4"/>
      <c r="M210" s="33">
        <f t="shared" si="11"/>
        <v>0</v>
      </c>
      <c r="N210" s="33"/>
      <c r="U210" s="4"/>
      <c r="V210" s="4"/>
      <c r="W210" s="4"/>
      <c r="X210" s="4"/>
    </row>
    <row r="211" spans="1:24" ht="25.5">
      <c r="A211" s="56" t="s">
        <v>447</v>
      </c>
      <c r="B211" s="1"/>
      <c r="C211" s="19" t="s">
        <v>276</v>
      </c>
      <c r="D211" s="14" t="s">
        <v>86</v>
      </c>
      <c r="E211" s="24">
        <f t="shared" si="10"/>
        <v>20</v>
      </c>
      <c r="F211" s="24"/>
      <c r="G211" s="24"/>
      <c r="H211" s="24">
        <v>20</v>
      </c>
      <c r="I211" s="4">
        <f aca="true" t="shared" si="12" ref="I211:I274">+J211+L211</f>
        <v>0</v>
      </c>
      <c r="J211" s="4"/>
      <c r="K211" s="4"/>
      <c r="M211" s="33">
        <f t="shared" si="11"/>
        <v>0</v>
      </c>
      <c r="N211" s="33"/>
      <c r="U211" s="4"/>
      <c r="V211" s="4"/>
      <c r="W211" s="4"/>
      <c r="X211" s="4"/>
    </row>
    <row r="212" spans="1:24" ht="26.25" customHeight="1">
      <c r="A212" s="56" t="s">
        <v>448</v>
      </c>
      <c r="B212" s="1"/>
      <c r="C212" s="19" t="s">
        <v>175</v>
      </c>
      <c r="D212" s="14" t="s">
        <v>86</v>
      </c>
      <c r="E212" s="24">
        <f t="shared" si="10"/>
        <v>30</v>
      </c>
      <c r="F212" s="24"/>
      <c r="G212" s="24"/>
      <c r="H212" s="24">
        <v>30</v>
      </c>
      <c r="I212" s="4">
        <f t="shared" si="12"/>
        <v>0</v>
      </c>
      <c r="J212" s="4"/>
      <c r="K212" s="4"/>
      <c r="M212" s="33">
        <f t="shared" si="11"/>
        <v>0</v>
      </c>
      <c r="N212" s="33"/>
      <c r="U212" s="4"/>
      <c r="V212" s="4"/>
      <c r="W212" s="4"/>
      <c r="X212" s="4"/>
    </row>
    <row r="213" spans="1:24" ht="38.25">
      <c r="A213" s="56" t="s">
        <v>449</v>
      </c>
      <c r="B213" s="15"/>
      <c r="C213" s="16" t="s">
        <v>304</v>
      </c>
      <c r="D213" s="36" t="s">
        <v>117</v>
      </c>
      <c r="E213" s="24">
        <f t="shared" si="10"/>
        <v>50</v>
      </c>
      <c r="F213" s="24"/>
      <c r="G213" s="24"/>
      <c r="H213" s="24">
        <v>50</v>
      </c>
      <c r="I213" s="4">
        <f t="shared" si="12"/>
        <v>0</v>
      </c>
      <c r="J213" s="4"/>
      <c r="K213" s="4"/>
      <c r="M213" s="33">
        <f t="shared" si="11"/>
        <v>0</v>
      </c>
      <c r="N213" s="33"/>
      <c r="U213" s="4"/>
      <c r="V213" s="4"/>
      <c r="W213" s="4"/>
      <c r="X213" s="4"/>
    </row>
    <row r="214" spans="1:24" ht="42" customHeight="1">
      <c r="A214" s="56" t="s">
        <v>450</v>
      </c>
      <c r="B214" s="1"/>
      <c r="C214" s="16" t="s">
        <v>211</v>
      </c>
      <c r="D214" s="14" t="s">
        <v>87</v>
      </c>
      <c r="E214" s="24">
        <f t="shared" si="10"/>
        <v>200.6</v>
      </c>
      <c r="F214" s="24"/>
      <c r="G214" s="24"/>
      <c r="H214" s="24">
        <v>200.6</v>
      </c>
      <c r="I214" s="4">
        <f t="shared" si="12"/>
        <v>0</v>
      </c>
      <c r="J214" s="4"/>
      <c r="K214" s="4"/>
      <c r="L214" s="4"/>
      <c r="M214" s="33">
        <f t="shared" si="11"/>
        <v>0</v>
      </c>
      <c r="N214" s="33"/>
      <c r="U214" s="4"/>
      <c r="V214" s="4"/>
      <c r="W214" s="4"/>
      <c r="X214" s="4"/>
    </row>
    <row r="215" spans="1:24" ht="18.75" customHeight="1">
      <c r="A215" s="56" t="s">
        <v>451</v>
      </c>
      <c r="B215" s="1"/>
      <c r="C215" s="19" t="s">
        <v>130</v>
      </c>
      <c r="D215" s="14" t="s">
        <v>196</v>
      </c>
      <c r="E215" s="24">
        <f t="shared" si="10"/>
        <v>70</v>
      </c>
      <c r="F215" s="24">
        <f>70</f>
        <v>70</v>
      </c>
      <c r="G215" s="24"/>
      <c r="H215" s="24"/>
      <c r="I215" s="4">
        <f t="shared" si="12"/>
        <v>0</v>
      </c>
      <c r="J215" s="4"/>
      <c r="K215" s="4"/>
      <c r="M215" s="33">
        <f t="shared" si="11"/>
        <v>0</v>
      </c>
      <c r="N215" s="33"/>
      <c r="P215" s="40"/>
      <c r="U215" s="4"/>
      <c r="V215" s="4"/>
      <c r="W215" s="4"/>
      <c r="X215" s="4"/>
    </row>
    <row r="216" spans="1:24" ht="12.75">
      <c r="A216" s="56" t="s">
        <v>452</v>
      </c>
      <c r="B216" s="1"/>
      <c r="C216" s="19" t="s">
        <v>252</v>
      </c>
      <c r="D216" s="14" t="s">
        <v>196</v>
      </c>
      <c r="E216" s="24">
        <f t="shared" si="10"/>
        <v>70</v>
      </c>
      <c r="F216" s="24"/>
      <c r="G216" s="24"/>
      <c r="H216" s="24">
        <v>70</v>
      </c>
      <c r="I216" s="4">
        <f t="shared" si="12"/>
        <v>0</v>
      </c>
      <c r="J216" s="4"/>
      <c r="K216" s="4"/>
      <c r="L216" s="4"/>
      <c r="M216" s="33">
        <f t="shared" si="11"/>
        <v>0</v>
      </c>
      <c r="N216" s="33"/>
      <c r="U216" s="4"/>
      <c r="V216" s="4"/>
      <c r="W216" s="4"/>
      <c r="X216" s="4"/>
    </row>
    <row r="217" spans="1:24" ht="25.5">
      <c r="A217" s="56" t="s">
        <v>453</v>
      </c>
      <c r="B217" s="1"/>
      <c r="C217" s="19" t="s">
        <v>279</v>
      </c>
      <c r="D217" s="36" t="s">
        <v>117</v>
      </c>
      <c r="E217" s="24">
        <f t="shared" si="10"/>
        <v>66</v>
      </c>
      <c r="F217" s="24"/>
      <c r="G217" s="24"/>
      <c r="H217" s="24">
        <v>66</v>
      </c>
      <c r="I217" s="4">
        <f t="shared" si="12"/>
        <v>19</v>
      </c>
      <c r="J217" s="4"/>
      <c r="K217" s="4"/>
      <c r="L217" s="2">
        <v>19</v>
      </c>
      <c r="M217" s="33">
        <f t="shared" si="11"/>
        <v>0</v>
      </c>
      <c r="N217" s="33"/>
      <c r="U217" s="4"/>
      <c r="V217" s="4"/>
      <c r="W217" s="4"/>
      <c r="X217" s="4"/>
    </row>
    <row r="218" spans="1:24" ht="12.75">
      <c r="A218" s="56" t="s">
        <v>454</v>
      </c>
      <c r="B218" s="1"/>
      <c r="C218" s="19" t="s">
        <v>131</v>
      </c>
      <c r="D218" s="14" t="s">
        <v>196</v>
      </c>
      <c r="E218" s="24">
        <f t="shared" si="10"/>
        <v>20</v>
      </c>
      <c r="F218" s="24">
        <v>20</v>
      </c>
      <c r="G218" s="24"/>
      <c r="H218" s="24"/>
      <c r="I218" s="4">
        <f t="shared" si="12"/>
        <v>0</v>
      </c>
      <c r="J218" s="4"/>
      <c r="K218" s="4"/>
      <c r="M218" s="33">
        <f t="shared" si="11"/>
        <v>0</v>
      </c>
      <c r="N218" s="33"/>
      <c r="U218" s="4"/>
      <c r="V218" s="4"/>
      <c r="W218" s="4"/>
      <c r="X218" s="4"/>
    </row>
    <row r="219" spans="1:24" ht="16.5" customHeight="1">
      <c r="A219" s="56" t="s">
        <v>455</v>
      </c>
      <c r="B219" s="1"/>
      <c r="C219" s="19" t="s">
        <v>153</v>
      </c>
      <c r="D219" s="14" t="s">
        <v>117</v>
      </c>
      <c r="E219" s="24">
        <f t="shared" si="10"/>
        <v>15</v>
      </c>
      <c r="F219" s="24">
        <v>15</v>
      </c>
      <c r="G219" s="24"/>
      <c r="H219" s="24"/>
      <c r="I219" s="4">
        <f t="shared" si="12"/>
        <v>0</v>
      </c>
      <c r="J219" s="4"/>
      <c r="K219" s="4"/>
      <c r="M219" s="33">
        <f t="shared" si="11"/>
        <v>0</v>
      </c>
      <c r="N219" s="33"/>
      <c r="U219" s="4"/>
      <c r="V219" s="4"/>
      <c r="W219" s="4"/>
      <c r="X219" s="4"/>
    </row>
    <row r="220" spans="1:24" ht="29.25" customHeight="1">
      <c r="A220" s="56" t="s">
        <v>456</v>
      </c>
      <c r="B220" s="15"/>
      <c r="C220" s="16" t="s">
        <v>181</v>
      </c>
      <c r="D220" s="36" t="s">
        <v>192</v>
      </c>
      <c r="E220" s="24">
        <f t="shared" si="10"/>
        <v>552</v>
      </c>
      <c r="F220" s="24">
        <v>8</v>
      </c>
      <c r="G220" s="24"/>
      <c r="H220" s="24">
        <v>544</v>
      </c>
      <c r="I220" s="4">
        <f t="shared" si="12"/>
        <v>-60</v>
      </c>
      <c r="J220" s="4">
        <v>0.6</v>
      </c>
      <c r="K220" s="4"/>
      <c r="L220" s="2">
        <f>-60-0.6</f>
        <v>-60.6</v>
      </c>
      <c r="M220" s="33">
        <f t="shared" si="11"/>
        <v>0</v>
      </c>
      <c r="N220" s="33"/>
      <c r="U220" s="4"/>
      <c r="V220" s="4"/>
      <c r="W220" s="4"/>
      <c r="X220" s="4"/>
    </row>
    <row r="221" spans="1:24" ht="30.75" customHeight="1">
      <c r="A221" s="56" t="s">
        <v>457</v>
      </c>
      <c r="B221" s="15"/>
      <c r="C221" s="16" t="s">
        <v>182</v>
      </c>
      <c r="D221" s="36" t="s">
        <v>192</v>
      </c>
      <c r="E221" s="24">
        <f t="shared" si="10"/>
        <v>455.1</v>
      </c>
      <c r="F221" s="24">
        <v>7.6</v>
      </c>
      <c r="G221" s="24"/>
      <c r="H221" s="24">
        <v>447.5</v>
      </c>
      <c r="I221" s="4">
        <f t="shared" si="12"/>
        <v>237</v>
      </c>
      <c r="J221" s="4"/>
      <c r="K221" s="4"/>
      <c r="L221" s="4">
        <v>237</v>
      </c>
      <c r="M221" s="33">
        <f t="shared" si="11"/>
        <v>0</v>
      </c>
      <c r="N221" s="33"/>
      <c r="U221" s="4"/>
      <c r="V221" s="4"/>
      <c r="W221" s="4"/>
      <c r="X221" s="4"/>
    </row>
    <row r="222" spans="1:24" ht="41.25" customHeight="1">
      <c r="A222" s="56" t="s">
        <v>458</v>
      </c>
      <c r="B222" s="1"/>
      <c r="C222" s="19" t="s">
        <v>154</v>
      </c>
      <c r="D222" s="14" t="s">
        <v>88</v>
      </c>
      <c r="E222" s="24">
        <f t="shared" si="10"/>
        <v>3</v>
      </c>
      <c r="F222" s="24">
        <v>1</v>
      </c>
      <c r="G222" s="24"/>
      <c r="H222" s="24">
        <v>2</v>
      </c>
      <c r="I222" s="4">
        <f t="shared" si="12"/>
        <v>0</v>
      </c>
      <c r="J222" s="4"/>
      <c r="K222" s="4"/>
      <c r="M222" s="33">
        <f t="shared" si="11"/>
        <v>0</v>
      </c>
      <c r="N222" s="33"/>
      <c r="O222" s="40"/>
      <c r="U222" s="4"/>
      <c r="V222" s="4"/>
      <c r="W222" s="4"/>
      <c r="X222" s="4"/>
    </row>
    <row r="223" spans="1:24" ht="29.25" customHeight="1">
      <c r="A223" s="56" t="s">
        <v>459</v>
      </c>
      <c r="B223" s="1"/>
      <c r="C223" s="16" t="s">
        <v>305</v>
      </c>
      <c r="D223" s="14" t="s">
        <v>196</v>
      </c>
      <c r="E223" s="24">
        <f t="shared" si="10"/>
        <v>200</v>
      </c>
      <c r="F223" s="24"/>
      <c r="G223" s="24"/>
      <c r="H223" s="24">
        <v>200</v>
      </c>
      <c r="I223" s="4">
        <f t="shared" si="12"/>
        <v>0</v>
      </c>
      <c r="J223" s="4"/>
      <c r="K223" s="4"/>
      <c r="M223" s="33">
        <f t="shared" si="11"/>
        <v>0</v>
      </c>
      <c r="N223" s="33"/>
      <c r="U223" s="4"/>
      <c r="V223" s="4"/>
      <c r="W223" s="4"/>
      <c r="X223" s="4"/>
    </row>
    <row r="224" spans="1:24" ht="38.25">
      <c r="A224" s="56" t="s">
        <v>460</v>
      </c>
      <c r="B224" s="15"/>
      <c r="C224" s="16" t="s">
        <v>188</v>
      </c>
      <c r="D224" s="36" t="s">
        <v>86</v>
      </c>
      <c r="E224" s="24">
        <f t="shared" si="10"/>
        <v>4.4</v>
      </c>
      <c r="F224" s="24"/>
      <c r="G224" s="24"/>
      <c r="H224" s="24">
        <f>9.8-5.4</f>
        <v>4.4</v>
      </c>
      <c r="I224" s="4">
        <f t="shared" si="12"/>
        <v>0</v>
      </c>
      <c r="J224" s="4"/>
      <c r="K224" s="4"/>
      <c r="M224" s="33">
        <f t="shared" si="11"/>
        <v>0</v>
      </c>
      <c r="N224" s="33"/>
      <c r="U224" s="4"/>
      <c r="V224" s="4"/>
      <c r="W224" s="4"/>
      <c r="X224" s="4"/>
    </row>
    <row r="225" spans="1:24" ht="25.5">
      <c r="A225" s="56" t="s">
        <v>461</v>
      </c>
      <c r="B225" s="15"/>
      <c r="C225" s="16" t="s">
        <v>213</v>
      </c>
      <c r="D225" s="36" t="s">
        <v>192</v>
      </c>
      <c r="E225" s="24">
        <f t="shared" si="10"/>
        <v>11.2</v>
      </c>
      <c r="F225" s="24">
        <v>0.7</v>
      </c>
      <c r="G225" s="24"/>
      <c r="H225" s="24">
        <f>5.1+5.4</f>
        <v>10.5</v>
      </c>
      <c r="I225" s="4">
        <f t="shared" si="12"/>
        <v>130</v>
      </c>
      <c r="J225" s="4">
        <v>1</v>
      </c>
      <c r="K225" s="4"/>
      <c r="L225" s="2">
        <f>130-1</f>
        <v>129</v>
      </c>
      <c r="M225" s="33">
        <f t="shared" si="11"/>
        <v>0</v>
      </c>
      <c r="N225" s="33"/>
      <c r="U225" s="4"/>
      <c r="V225" s="4"/>
      <c r="W225" s="4"/>
      <c r="X225" s="4"/>
    </row>
    <row r="226" spans="1:24" ht="25.5">
      <c r="A226" s="56" t="s">
        <v>462</v>
      </c>
      <c r="B226" s="15"/>
      <c r="C226" s="16" t="s">
        <v>214</v>
      </c>
      <c r="D226" s="36" t="s">
        <v>192</v>
      </c>
      <c r="E226" s="24">
        <f t="shared" si="10"/>
        <v>1.3</v>
      </c>
      <c r="F226" s="24">
        <v>0.8</v>
      </c>
      <c r="G226" s="24"/>
      <c r="H226" s="24">
        <v>0.5</v>
      </c>
      <c r="I226" s="4">
        <f t="shared" si="12"/>
        <v>0</v>
      </c>
      <c r="J226" s="4"/>
      <c r="K226" s="4"/>
      <c r="M226" s="33">
        <f t="shared" si="11"/>
        <v>0</v>
      </c>
      <c r="N226" s="33"/>
      <c r="U226" s="4"/>
      <c r="V226" s="4"/>
      <c r="W226" s="4"/>
      <c r="X226" s="4"/>
    </row>
    <row r="227" spans="1:24" ht="27" customHeight="1">
      <c r="A227" s="12">
        <v>82</v>
      </c>
      <c r="B227" s="11"/>
      <c r="C227" s="16" t="s">
        <v>7</v>
      </c>
      <c r="D227" s="14" t="s">
        <v>87</v>
      </c>
      <c r="E227" s="24">
        <f t="shared" si="10"/>
        <v>170.5</v>
      </c>
      <c r="F227" s="24">
        <v>170.5</v>
      </c>
      <c r="G227" s="24"/>
      <c r="H227" s="24"/>
      <c r="I227" s="4">
        <f t="shared" si="12"/>
        <v>0</v>
      </c>
      <c r="J227" s="4"/>
      <c r="K227" s="4"/>
      <c r="M227" s="33">
        <f t="shared" si="11"/>
        <v>0</v>
      </c>
      <c r="N227" s="33"/>
      <c r="U227" s="4"/>
      <c r="V227" s="4"/>
      <c r="W227" s="4"/>
      <c r="X227" s="4"/>
    </row>
    <row r="228" spans="1:24" ht="27" customHeight="1">
      <c r="A228" s="12">
        <v>83</v>
      </c>
      <c r="B228" s="11"/>
      <c r="C228" s="16" t="s">
        <v>3</v>
      </c>
      <c r="D228" s="14" t="s">
        <v>86</v>
      </c>
      <c r="E228" s="24">
        <f t="shared" si="10"/>
        <v>27</v>
      </c>
      <c r="F228" s="24">
        <v>27</v>
      </c>
      <c r="G228" s="24"/>
      <c r="H228" s="24"/>
      <c r="I228" s="4">
        <f t="shared" si="12"/>
        <v>0</v>
      </c>
      <c r="J228" s="4"/>
      <c r="K228" s="4"/>
      <c r="M228" s="33">
        <f t="shared" si="11"/>
        <v>0</v>
      </c>
      <c r="N228" s="33"/>
      <c r="U228" s="4"/>
      <c r="V228" s="4"/>
      <c r="W228" s="4"/>
      <c r="X228" s="4"/>
    </row>
    <row r="229" spans="1:24" ht="27" customHeight="1">
      <c r="A229" s="12">
        <v>84</v>
      </c>
      <c r="B229" s="11"/>
      <c r="C229" s="16" t="s">
        <v>4</v>
      </c>
      <c r="D229" s="14" t="s">
        <v>86</v>
      </c>
      <c r="E229" s="24">
        <f t="shared" si="10"/>
        <v>10</v>
      </c>
      <c r="F229" s="24">
        <v>10</v>
      </c>
      <c r="G229" s="24"/>
      <c r="H229" s="24"/>
      <c r="I229" s="4">
        <f t="shared" si="12"/>
        <v>-1.2</v>
      </c>
      <c r="J229" s="4">
        <v>-1.2</v>
      </c>
      <c r="K229" s="4"/>
      <c r="M229" s="33">
        <f t="shared" si="11"/>
        <v>0</v>
      </c>
      <c r="N229" s="33"/>
      <c r="U229" s="4"/>
      <c r="V229" s="4"/>
      <c r="W229" s="4"/>
      <c r="X229" s="4"/>
    </row>
    <row r="230" spans="1:24" ht="27" customHeight="1">
      <c r="A230" s="12">
        <v>85</v>
      </c>
      <c r="B230" s="11"/>
      <c r="C230" s="18" t="s">
        <v>6</v>
      </c>
      <c r="D230" s="14" t="s">
        <v>86</v>
      </c>
      <c r="E230" s="24">
        <f t="shared" si="10"/>
        <v>17</v>
      </c>
      <c r="F230" s="24">
        <v>17</v>
      </c>
      <c r="G230" s="24"/>
      <c r="H230" s="24"/>
      <c r="I230" s="4">
        <f t="shared" si="12"/>
        <v>0</v>
      </c>
      <c r="J230" s="4"/>
      <c r="K230" s="4"/>
      <c r="M230" s="33">
        <f t="shared" si="11"/>
        <v>0</v>
      </c>
      <c r="N230" s="33"/>
      <c r="U230" s="4"/>
      <c r="V230" s="4"/>
      <c r="W230" s="4"/>
      <c r="X230" s="4"/>
    </row>
    <row r="231" spans="1:24" ht="27" customHeight="1">
      <c r="A231" s="12">
        <v>86</v>
      </c>
      <c r="B231" s="11"/>
      <c r="C231" s="16" t="s">
        <v>5</v>
      </c>
      <c r="D231" s="14" t="s">
        <v>86</v>
      </c>
      <c r="E231" s="24">
        <f t="shared" si="10"/>
        <v>14.4</v>
      </c>
      <c r="F231" s="24">
        <v>14.4</v>
      </c>
      <c r="G231" s="24"/>
      <c r="H231" s="24"/>
      <c r="I231" s="4">
        <f t="shared" si="12"/>
        <v>10</v>
      </c>
      <c r="J231" s="4">
        <v>10</v>
      </c>
      <c r="K231" s="4"/>
      <c r="M231" s="33">
        <f t="shared" si="11"/>
        <v>0</v>
      </c>
      <c r="N231" s="33"/>
      <c r="U231" s="4"/>
      <c r="V231" s="4"/>
      <c r="W231" s="4"/>
      <c r="X231" s="4"/>
    </row>
    <row r="232" spans="1:24" ht="27" customHeight="1">
      <c r="A232" s="12">
        <v>87</v>
      </c>
      <c r="B232" s="11"/>
      <c r="C232" s="16" t="s">
        <v>8</v>
      </c>
      <c r="D232" s="14" t="s">
        <v>86</v>
      </c>
      <c r="E232" s="24">
        <f t="shared" si="10"/>
        <v>16.6</v>
      </c>
      <c r="F232" s="24">
        <v>16.6</v>
      </c>
      <c r="G232" s="24"/>
      <c r="H232" s="24"/>
      <c r="I232" s="4">
        <f t="shared" si="12"/>
        <v>1</v>
      </c>
      <c r="J232" s="4">
        <v>1</v>
      </c>
      <c r="K232" s="4"/>
      <c r="M232" s="33">
        <f t="shared" si="11"/>
        <v>0</v>
      </c>
      <c r="N232" s="33"/>
      <c r="U232" s="4"/>
      <c r="V232" s="4"/>
      <c r="W232" s="4"/>
      <c r="X232" s="4"/>
    </row>
    <row r="233" spans="1:24" ht="27" customHeight="1">
      <c r="A233" s="12">
        <v>88</v>
      </c>
      <c r="B233" s="11"/>
      <c r="C233" s="18" t="s">
        <v>9</v>
      </c>
      <c r="D233" s="14" t="s">
        <v>86</v>
      </c>
      <c r="E233" s="24">
        <f t="shared" si="10"/>
        <v>10.5</v>
      </c>
      <c r="F233" s="24">
        <v>10.5</v>
      </c>
      <c r="G233" s="24"/>
      <c r="H233" s="24"/>
      <c r="I233" s="4">
        <f t="shared" si="12"/>
        <v>0</v>
      </c>
      <c r="J233" s="4"/>
      <c r="K233" s="4"/>
      <c r="M233" s="33">
        <f t="shared" si="11"/>
        <v>0</v>
      </c>
      <c r="N233" s="33"/>
      <c r="U233" s="4"/>
      <c r="V233" s="4"/>
      <c r="W233" s="4"/>
      <c r="X233" s="4"/>
    </row>
    <row r="234" spans="1:24" ht="27" customHeight="1">
      <c r="A234" s="12">
        <v>89</v>
      </c>
      <c r="B234" s="11"/>
      <c r="C234" s="16" t="s">
        <v>11</v>
      </c>
      <c r="D234" s="14" t="s">
        <v>86</v>
      </c>
      <c r="E234" s="24">
        <f t="shared" si="10"/>
        <v>10</v>
      </c>
      <c r="F234" s="24">
        <v>10</v>
      </c>
      <c r="G234" s="24"/>
      <c r="H234" s="24"/>
      <c r="I234" s="4">
        <f t="shared" si="12"/>
        <v>0</v>
      </c>
      <c r="J234" s="4"/>
      <c r="K234" s="4"/>
      <c r="M234" s="33">
        <f t="shared" si="11"/>
        <v>0</v>
      </c>
      <c r="N234" s="33"/>
      <c r="U234" s="4"/>
      <c r="V234" s="4"/>
      <c r="W234" s="4"/>
      <c r="X234" s="4"/>
    </row>
    <row r="235" spans="1:24" ht="27" customHeight="1">
      <c r="A235" s="12">
        <v>90</v>
      </c>
      <c r="B235" s="11"/>
      <c r="C235" s="16" t="s">
        <v>118</v>
      </c>
      <c r="D235" s="14" t="s">
        <v>86</v>
      </c>
      <c r="E235" s="24">
        <f t="shared" si="10"/>
        <v>10</v>
      </c>
      <c r="F235" s="24">
        <v>10</v>
      </c>
      <c r="G235" s="24"/>
      <c r="H235" s="24"/>
      <c r="I235" s="4">
        <f t="shared" si="12"/>
        <v>0</v>
      </c>
      <c r="J235" s="4"/>
      <c r="K235" s="4"/>
      <c r="M235" s="33">
        <f t="shared" si="11"/>
        <v>0</v>
      </c>
      <c r="N235" s="33"/>
      <c r="U235" s="4"/>
      <c r="V235" s="4"/>
      <c r="W235" s="4"/>
      <c r="X235" s="4"/>
    </row>
    <row r="236" spans="1:24" ht="27" customHeight="1">
      <c r="A236" s="12">
        <v>91</v>
      </c>
      <c r="B236" s="11"/>
      <c r="C236" s="16" t="s">
        <v>12</v>
      </c>
      <c r="D236" s="14" t="s">
        <v>86</v>
      </c>
      <c r="E236" s="24">
        <f t="shared" si="10"/>
        <v>13</v>
      </c>
      <c r="F236" s="24">
        <v>13</v>
      </c>
      <c r="G236" s="24"/>
      <c r="H236" s="24"/>
      <c r="I236" s="4">
        <f t="shared" si="12"/>
        <v>1.8</v>
      </c>
      <c r="J236" s="4">
        <v>1.8</v>
      </c>
      <c r="K236" s="4"/>
      <c r="M236" s="33">
        <f t="shared" si="11"/>
        <v>0</v>
      </c>
      <c r="N236" s="33"/>
      <c r="U236" s="4"/>
      <c r="V236" s="4"/>
      <c r="W236" s="4"/>
      <c r="X236" s="4"/>
    </row>
    <row r="237" spans="1:24" ht="27" customHeight="1">
      <c r="A237" s="12">
        <v>92</v>
      </c>
      <c r="B237" s="1"/>
      <c r="C237" s="16" t="s">
        <v>13</v>
      </c>
      <c r="D237" s="14" t="s">
        <v>86</v>
      </c>
      <c r="E237" s="24">
        <f t="shared" si="10"/>
        <v>17.2</v>
      </c>
      <c r="F237" s="24">
        <v>17.2</v>
      </c>
      <c r="G237" s="24"/>
      <c r="H237" s="24"/>
      <c r="I237" s="4">
        <f t="shared" si="12"/>
        <v>0</v>
      </c>
      <c r="J237" s="4"/>
      <c r="K237" s="4"/>
      <c r="M237" s="33">
        <f t="shared" si="11"/>
        <v>0</v>
      </c>
      <c r="N237" s="33"/>
      <c r="U237" s="4"/>
      <c r="V237" s="4"/>
      <c r="W237" s="4"/>
      <c r="X237" s="4"/>
    </row>
    <row r="238" spans="1:24" ht="19.5" customHeight="1">
      <c r="A238" s="12">
        <v>93</v>
      </c>
      <c r="B238" s="11" t="s">
        <v>89</v>
      </c>
      <c r="C238" s="20" t="s">
        <v>90</v>
      </c>
      <c r="D238" s="10"/>
      <c r="E238" s="26">
        <f t="shared" si="10"/>
        <v>3254.9</v>
      </c>
      <c r="F238" s="26">
        <f>+F250+F251+F253+F252+F249+F254+F255+F257+F256+F258+F259+F239</f>
        <v>3152</v>
      </c>
      <c r="G238" s="26">
        <f>+G250+G251+G253+G252+G249+G254+G255+G257+G256+G258+G259+G239</f>
        <v>563.4</v>
      </c>
      <c r="H238" s="26">
        <f>+H250+H251+H253+H252+H249+H254+H255+H257+H256+H258+H259+H239</f>
        <v>102.89999999999999</v>
      </c>
      <c r="I238" s="4">
        <f t="shared" si="12"/>
        <v>0</v>
      </c>
      <c r="J238" s="4"/>
      <c r="K238" s="4"/>
      <c r="M238" s="33">
        <f t="shared" si="11"/>
        <v>0</v>
      </c>
      <c r="N238" s="33"/>
      <c r="U238" s="4"/>
      <c r="V238" s="4"/>
      <c r="W238" s="4"/>
      <c r="X238" s="4"/>
    </row>
    <row r="239" spans="1:24" ht="19.5" customHeight="1">
      <c r="A239" s="12">
        <v>94</v>
      </c>
      <c r="B239" s="1"/>
      <c r="C239" s="18" t="s">
        <v>253</v>
      </c>
      <c r="D239" s="14"/>
      <c r="E239" s="24">
        <f>+F239+H239</f>
        <v>1662.7</v>
      </c>
      <c r="F239" s="24">
        <f>+F240+F241+F246+F247+F248</f>
        <v>1559.8</v>
      </c>
      <c r="G239" s="24">
        <f>+G240+G241+G246+G247+G248</f>
        <v>0</v>
      </c>
      <c r="H239" s="24">
        <f>+H240+H241+H246+H247+H248</f>
        <v>102.89999999999999</v>
      </c>
      <c r="I239" s="4">
        <f t="shared" si="12"/>
        <v>0</v>
      </c>
      <c r="J239" s="4"/>
      <c r="K239" s="4"/>
      <c r="M239" s="33">
        <f t="shared" si="11"/>
        <v>0</v>
      </c>
      <c r="N239" s="33"/>
      <c r="U239" s="4"/>
      <c r="V239" s="4"/>
      <c r="W239" s="4"/>
      <c r="X239" s="4"/>
    </row>
    <row r="240" spans="1:24" ht="17.25" customHeight="1">
      <c r="A240" s="56" t="s">
        <v>400</v>
      </c>
      <c r="B240" s="1"/>
      <c r="C240" s="44" t="s">
        <v>2</v>
      </c>
      <c r="D240" s="1" t="s">
        <v>159</v>
      </c>
      <c r="E240" s="24">
        <f aca="true" t="shared" si="13" ref="E240:E271">+F240+H240</f>
        <v>15.5</v>
      </c>
      <c r="F240" s="24">
        <v>15.5</v>
      </c>
      <c r="G240" s="24"/>
      <c r="H240" s="24"/>
      <c r="I240" s="4">
        <f t="shared" si="12"/>
        <v>0</v>
      </c>
      <c r="J240" s="4"/>
      <c r="K240" s="4"/>
      <c r="M240" s="33">
        <f t="shared" si="11"/>
        <v>0</v>
      </c>
      <c r="N240" s="33"/>
      <c r="U240" s="4"/>
      <c r="V240" s="4"/>
      <c r="W240" s="4"/>
      <c r="X240" s="4"/>
    </row>
    <row r="241" spans="1:24" ht="43.5" customHeight="1">
      <c r="A241" s="56" t="s">
        <v>401</v>
      </c>
      <c r="B241" s="1"/>
      <c r="C241" s="37" t="s">
        <v>318</v>
      </c>
      <c r="D241" s="11"/>
      <c r="E241" s="60">
        <f t="shared" si="13"/>
        <v>264</v>
      </c>
      <c r="F241" s="60">
        <f>+F242+F243+F244+F245</f>
        <v>182.39999999999998</v>
      </c>
      <c r="G241" s="60">
        <f>+G242+G243+G244+G245</f>
        <v>0</v>
      </c>
      <c r="H241" s="60">
        <f>+H242+H243+H244+H245</f>
        <v>81.6</v>
      </c>
      <c r="I241" s="4">
        <f t="shared" si="12"/>
        <v>0</v>
      </c>
      <c r="J241" s="4"/>
      <c r="K241" s="4"/>
      <c r="M241" s="33">
        <f t="shared" si="11"/>
        <v>0</v>
      </c>
      <c r="N241" s="33"/>
      <c r="U241" s="4"/>
      <c r="V241" s="4"/>
      <c r="W241" s="4"/>
      <c r="X241" s="4"/>
    </row>
    <row r="242" spans="1:24" ht="12.75">
      <c r="A242" s="56" t="s">
        <v>402</v>
      </c>
      <c r="B242" s="1"/>
      <c r="C242" s="38" t="s">
        <v>282</v>
      </c>
      <c r="D242" s="1" t="s">
        <v>196</v>
      </c>
      <c r="E242" s="24">
        <f t="shared" si="13"/>
        <v>130</v>
      </c>
      <c r="F242" s="24">
        <f>150-20</f>
        <v>130</v>
      </c>
      <c r="G242" s="60"/>
      <c r="H242" s="60"/>
      <c r="I242" s="4">
        <f t="shared" si="12"/>
        <v>0</v>
      </c>
      <c r="J242" s="4"/>
      <c r="K242" s="4"/>
      <c r="M242" s="33">
        <f t="shared" si="11"/>
        <v>0</v>
      </c>
      <c r="N242" s="33"/>
      <c r="U242" s="4"/>
      <c r="V242" s="4"/>
      <c r="W242" s="4"/>
      <c r="X242" s="4"/>
    </row>
    <row r="243" spans="1:24" ht="27" customHeight="1">
      <c r="A243" s="57" t="s">
        <v>403</v>
      </c>
      <c r="B243" s="15"/>
      <c r="C243" s="19" t="s">
        <v>183</v>
      </c>
      <c r="D243" s="71" t="s">
        <v>92</v>
      </c>
      <c r="E243" s="30">
        <f t="shared" si="13"/>
        <v>82.19999999999999</v>
      </c>
      <c r="F243" s="30">
        <v>0.6</v>
      </c>
      <c r="G243" s="24"/>
      <c r="H243" s="24">
        <v>81.6</v>
      </c>
      <c r="I243" s="4">
        <f t="shared" si="12"/>
        <v>-56.3</v>
      </c>
      <c r="J243" s="4"/>
      <c r="K243" s="4"/>
      <c r="L243" s="2">
        <v>-56.3</v>
      </c>
      <c r="M243" s="33">
        <f t="shared" si="11"/>
        <v>0</v>
      </c>
      <c r="N243" s="33"/>
      <c r="U243" s="4"/>
      <c r="V243" s="4"/>
      <c r="W243" s="4"/>
      <c r="X243" s="4"/>
    </row>
    <row r="244" spans="1:24" ht="38.25">
      <c r="A244" s="56" t="s">
        <v>404</v>
      </c>
      <c r="B244" s="15"/>
      <c r="C244" s="19" t="s">
        <v>345</v>
      </c>
      <c r="D244" s="15" t="s">
        <v>159</v>
      </c>
      <c r="E244" s="30">
        <f t="shared" si="13"/>
        <v>25.1</v>
      </c>
      <c r="F244" s="30">
        <v>25.1</v>
      </c>
      <c r="G244" s="24"/>
      <c r="H244" s="24"/>
      <c r="I244" s="4">
        <f t="shared" si="12"/>
        <v>0</v>
      </c>
      <c r="J244" s="4"/>
      <c r="K244" s="4"/>
      <c r="M244" s="33">
        <f t="shared" si="11"/>
        <v>0</v>
      </c>
      <c r="N244" s="33"/>
      <c r="U244" s="4"/>
      <c r="V244" s="4"/>
      <c r="W244" s="4"/>
      <c r="X244" s="4"/>
    </row>
    <row r="245" spans="1:24" ht="27" customHeight="1">
      <c r="A245" s="57" t="s">
        <v>405</v>
      </c>
      <c r="B245" s="15"/>
      <c r="C245" s="19" t="s">
        <v>184</v>
      </c>
      <c r="D245" s="15" t="s">
        <v>159</v>
      </c>
      <c r="E245" s="30">
        <f t="shared" si="13"/>
        <v>26.7</v>
      </c>
      <c r="F245" s="30">
        <v>26.7</v>
      </c>
      <c r="G245" s="24"/>
      <c r="H245" s="24"/>
      <c r="I245" s="4">
        <f t="shared" si="12"/>
        <v>-25.9</v>
      </c>
      <c r="J245" s="4">
        <v>-25.9</v>
      </c>
      <c r="K245" s="4"/>
      <c r="M245" s="33">
        <f t="shared" si="11"/>
        <v>0</v>
      </c>
      <c r="N245" s="33"/>
      <c r="U245" s="4"/>
      <c r="V245" s="4"/>
      <c r="W245" s="4"/>
      <c r="X245" s="4"/>
    </row>
    <row r="246" spans="1:24" ht="29.25" customHeight="1">
      <c r="A246" s="56" t="s">
        <v>426</v>
      </c>
      <c r="B246" s="1"/>
      <c r="C246" s="67" t="s">
        <v>193</v>
      </c>
      <c r="D246" s="72" t="s">
        <v>138</v>
      </c>
      <c r="E246" s="24">
        <f t="shared" si="13"/>
        <v>348.2</v>
      </c>
      <c r="F246" s="24">
        <f>348.2-21.3</f>
        <v>326.9</v>
      </c>
      <c r="G246" s="24"/>
      <c r="H246" s="24">
        <v>21.3</v>
      </c>
      <c r="I246" s="4">
        <f t="shared" si="12"/>
        <v>0</v>
      </c>
      <c r="J246" s="4"/>
      <c r="K246" s="4"/>
      <c r="M246" s="33">
        <f t="shared" si="11"/>
        <v>0</v>
      </c>
      <c r="N246" s="33"/>
      <c r="U246" s="4"/>
      <c r="V246" s="4"/>
      <c r="W246" s="4"/>
      <c r="X246" s="4"/>
    </row>
    <row r="247" spans="1:24" ht="15" customHeight="1">
      <c r="A247" s="57" t="s">
        <v>427</v>
      </c>
      <c r="B247" s="1"/>
      <c r="C247" s="67" t="s">
        <v>344</v>
      </c>
      <c r="D247" s="72" t="s">
        <v>92</v>
      </c>
      <c r="E247" s="24">
        <f t="shared" si="13"/>
        <v>995</v>
      </c>
      <c r="F247" s="24">
        <v>995</v>
      </c>
      <c r="G247" s="24"/>
      <c r="H247" s="24"/>
      <c r="I247" s="4">
        <f t="shared" si="12"/>
        <v>200</v>
      </c>
      <c r="J247" s="4">
        <v>200</v>
      </c>
      <c r="K247" s="4"/>
      <c r="M247" s="33">
        <f t="shared" si="11"/>
        <v>0</v>
      </c>
      <c r="N247" s="33"/>
      <c r="U247" s="4"/>
      <c r="V247" s="4"/>
      <c r="W247" s="4"/>
      <c r="X247" s="4"/>
    </row>
    <row r="248" spans="1:24" ht="15" customHeight="1">
      <c r="A248" s="56" t="s">
        <v>428</v>
      </c>
      <c r="B248" s="1"/>
      <c r="C248" s="67" t="s">
        <v>166</v>
      </c>
      <c r="D248" s="72" t="s">
        <v>92</v>
      </c>
      <c r="E248" s="24">
        <f t="shared" si="13"/>
        <v>40</v>
      </c>
      <c r="F248" s="24">
        <v>40</v>
      </c>
      <c r="G248" s="24"/>
      <c r="H248" s="24"/>
      <c r="I248" s="4">
        <f t="shared" si="12"/>
        <v>0</v>
      </c>
      <c r="J248" s="4"/>
      <c r="K248" s="4"/>
      <c r="M248" s="33">
        <f t="shared" si="11"/>
        <v>0</v>
      </c>
      <c r="N248" s="33"/>
      <c r="U248" s="4"/>
      <c r="V248" s="4"/>
      <c r="W248" s="4"/>
      <c r="X248" s="4"/>
    </row>
    <row r="249" spans="1:24" ht="39" customHeight="1">
      <c r="A249" s="12">
        <v>95</v>
      </c>
      <c r="B249" s="1"/>
      <c r="C249" s="28" t="s">
        <v>7</v>
      </c>
      <c r="D249" s="70" t="s">
        <v>93</v>
      </c>
      <c r="E249" s="24">
        <f t="shared" si="13"/>
        <v>896.9</v>
      </c>
      <c r="F249" s="24">
        <v>896.9</v>
      </c>
      <c r="G249" s="24">
        <v>119</v>
      </c>
      <c r="H249" s="24"/>
      <c r="I249" s="4">
        <f t="shared" si="12"/>
        <v>3.1</v>
      </c>
      <c r="J249" s="4">
        <v>3.5</v>
      </c>
      <c r="K249" s="4">
        <v>-2.5</v>
      </c>
      <c r="L249" s="2">
        <v>-0.4</v>
      </c>
      <c r="M249" s="33">
        <f t="shared" si="11"/>
        <v>0</v>
      </c>
      <c r="N249" s="33"/>
      <c r="U249" s="4"/>
      <c r="V249" s="4"/>
      <c r="W249" s="4"/>
      <c r="X249" s="4"/>
    </row>
    <row r="250" spans="1:24" ht="24.75" customHeight="1">
      <c r="A250" s="12">
        <v>96</v>
      </c>
      <c r="B250" s="1"/>
      <c r="C250" s="16" t="s">
        <v>3</v>
      </c>
      <c r="D250" s="70" t="s">
        <v>91</v>
      </c>
      <c r="E250" s="24">
        <f t="shared" si="13"/>
        <v>97</v>
      </c>
      <c r="F250" s="24">
        <v>97</v>
      </c>
      <c r="G250" s="24">
        <v>65.7</v>
      </c>
      <c r="H250" s="24"/>
      <c r="I250" s="4">
        <f t="shared" si="12"/>
        <v>7.799999999999999</v>
      </c>
      <c r="J250" s="4">
        <f>6.3+1.4</f>
        <v>7.699999999999999</v>
      </c>
      <c r="K250" s="4">
        <v>1.9</v>
      </c>
      <c r="L250" s="2">
        <v>0.1</v>
      </c>
      <c r="M250" s="33">
        <f t="shared" si="11"/>
        <v>0</v>
      </c>
      <c r="N250" s="33"/>
      <c r="U250" s="4"/>
      <c r="V250" s="4"/>
      <c r="W250" s="4"/>
      <c r="X250" s="4"/>
    </row>
    <row r="251" spans="1:24" ht="24.75" customHeight="1">
      <c r="A251" s="12">
        <v>97</v>
      </c>
      <c r="B251" s="1"/>
      <c r="C251" s="16" t="s">
        <v>4</v>
      </c>
      <c r="D251" s="70" t="s">
        <v>92</v>
      </c>
      <c r="E251" s="24">
        <f t="shared" si="13"/>
        <v>86.2</v>
      </c>
      <c r="F251" s="24">
        <v>86.2</v>
      </c>
      <c r="G251" s="24">
        <v>65.9</v>
      </c>
      <c r="H251" s="24"/>
      <c r="I251" s="4">
        <f t="shared" si="12"/>
        <v>5.8999999999999995</v>
      </c>
      <c r="J251" s="4">
        <f>1.1+0.7</f>
        <v>1.8</v>
      </c>
      <c r="K251" s="4">
        <v>1.1</v>
      </c>
      <c r="L251" s="2">
        <f>1.2+2.9</f>
        <v>4.1</v>
      </c>
      <c r="M251" s="33">
        <f t="shared" si="11"/>
        <v>0</v>
      </c>
      <c r="N251" s="33"/>
      <c r="U251" s="4"/>
      <c r="V251" s="4"/>
      <c r="W251" s="4"/>
      <c r="X251" s="4"/>
    </row>
    <row r="252" spans="1:24" ht="24.75" customHeight="1">
      <c r="A252" s="12">
        <v>98</v>
      </c>
      <c r="B252" s="1"/>
      <c r="C252" s="16" t="s">
        <v>6</v>
      </c>
      <c r="D252" s="70" t="s">
        <v>91</v>
      </c>
      <c r="E252" s="24">
        <f>+F252+H252</f>
        <v>67</v>
      </c>
      <c r="F252" s="24">
        <v>67</v>
      </c>
      <c r="G252" s="24">
        <v>39.7</v>
      </c>
      <c r="H252" s="24"/>
      <c r="I252" s="4">
        <f t="shared" si="12"/>
        <v>1.6</v>
      </c>
      <c r="J252" s="4">
        <v>1.6</v>
      </c>
      <c r="K252" s="4">
        <v>-3.6</v>
      </c>
      <c r="M252" s="33">
        <f t="shared" si="11"/>
        <v>0</v>
      </c>
      <c r="N252" s="33"/>
      <c r="U252" s="4"/>
      <c r="V252" s="4"/>
      <c r="W252" s="4"/>
      <c r="X252" s="4"/>
    </row>
    <row r="253" spans="1:24" ht="24.75" customHeight="1">
      <c r="A253" s="12">
        <v>99</v>
      </c>
      <c r="B253" s="1"/>
      <c r="C253" s="28" t="s">
        <v>5</v>
      </c>
      <c r="D253" s="70" t="s">
        <v>91</v>
      </c>
      <c r="E253" s="24">
        <f t="shared" si="13"/>
        <v>63</v>
      </c>
      <c r="F253" s="24">
        <v>63</v>
      </c>
      <c r="G253" s="24">
        <v>32.8</v>
      </c>
      <c r="H253" s="24"/>
      <c r="I253" s="4">
        <f t="shared" si="12"/>
        <v>-11.9</v>
      </c>
      <c r="J253" s="4">
        <v>-13.1</v>
      </c>
      <c r="K253" s="4">
        <v>1.7</v>
      </c>
      <c r="L253" s="2">
        <v>1.2</v>
      </c>
      <c r="M253" s="33">
        <f t="shared" si="11"/>
        <v>0</v>
      </c>
      <c r="N253" s="33"/>
      <c r="U253" s="4"/>
      <c r="V253" s="4"/>
      <c r="W253" s="4"/>
      <c r="X253" s="4"/>
    </row>
    <row r="254" spans="1:24" ht="24.75" customHeight="1">
      <c r="A254" s="12">
        <v>100</v>
      </c>
      <c r="B254" s="1"/>
      <c r="C254" s="16" t="s">
        <v>8</v>
      </c>
      <c r="D254" s="70" t="s">
        <v>94</v>
      </c>
      <c r="E254" s="24">
        <f t="shared" si="13"/>
        <v>56.8</v>
      </c>
      <c r="F254" s="24">
        <v>56.8</v>
      </c>
      <c r="G254" s="24">
        <v>37</v>
      </c>
      <c r="H254" s="24"/>
      <c r="I254" s="4">
        <f t="shared" si="12"/>
        <v>0.5</v>
      </c>
      <c r="J254" s="4">
        <v>0.5</v>
      </c>
      <c r="K254" s="4">
        <v>-1.3</v>
      </c>
      <c r="L254" s="4"/>
      <c r="M254" s="33">
        <f t="shared" si="11"/>
        <v>0</v>
      </c>
      <c r="N254" s="33"/>
      <c r="U254" s="4"/>
      <c r="V254" s="4"/>
      <c r="W254" s="4"/>
      <c r="X254" s="4"/>
    </row>
    <row r="255" spans="1:24" ht="24.75" customHeight="1">
      <c r="A255" s="12">
        <v>101</v>
      </c>
      <c r="B255" s="1"/>
      <c r="C255" s="18" t="s">
        <v>9</v>
      </c>
      <c r="D255" s="70" t="s">
        <v>91</v>
      </c>
      <c r="E255" s="24">
        <f t="shared" si="13"/>
        <v>33.9</v>
      </c>
      <c r="F255" s="24">
        <v>33.9</v>
      </c>
      <c r="G255" s="24">
        <v>19.7</v>
      </c>
      <c r="H255" s="24"/>
      <c r="I255" s="4">
        <f t="shared" si="12"/>
        <v>0.1</v>
      </c>
      <c r="J255" s="4">
        <v>0.1</v>
      </c>
      <c r="K255" s="4">
        <v>0.8</v>
      </c>
      <c r="M255" s="33">
        <f t="shared" si="11"/>
        <v>0</v>
      </c>
      <c r="N255" s="33"/>
      <c r="U255" s="4"/>
      <c r="V255" s="4"/>
      <c r="W255" s="4"/>
      <c r="X255" s="4"/>
    </row>
    <row r="256" spans="1:24" ht="29.25" customHeight="1">
      <c r="A256" s="12">
        <v>102</v>
      </c>
      <c r="B256" s="1"/>
      <c r="C256" s="16" t="s">
        <v>11</v>
      </c>
      <c r="D256" s="70" t="s">
        <v>91</v>
      </c>
      <c r="E256" s="24">
        <f>+F256+H256</f>
        <v>34.3</v>
      </c>
      <c r="F256" s="24">
        <v>34.3</v>
      </c>
      <c r="G256" s="24">
        <v>21.5</v>
      </c>
      <c r="H256" s="24"/>
      <c r="I256" s="4">
        <f t="shared" si="12"/>
        <v>-1.4</v>
      </c>
      <c r="J256" s="4">
        <v>-1.4</v>
      </c>
      <c r="K256" s="4">
        <v>-1.5</v>
      </c>
      <c r="M256" s="33">
        <f t="shared" si="11"/>
        <v>0</v>
      </c>
      <c r="N256" s="33"/>
      <c r="U256" s="4"/>
      <c r="V256" s="4"/>
      <c r="W256" s="4"/>
      <c r="X256" s="4"/>
    </row>
    <row r="257" spans="1:24" ht="27" customHeight="1">
      <c r="A257" s="12">
        <v>103</v>
      </c>
      <c r="B257" s="1"/>
      <c r="C257" s="28" t="s">
        <v>118</v>
      </c>
      <c r="D257" s="70" t="s">
        <v>91</v>
      </c>
      <c r="E257" s="24">
        <f t="shared" si="13"/>
        <v>53.4</v>
      </c>
      <c r="F257" s="24">
        <v>53.4</v>
      </c>
      <c r="G257" s="24">
        <v>38.9</v>
      </c>
      <c r="H257" s="24"/>
      <c r="I257" s="4">
        <f t="shared" si="12"/>
        <v>0.6</v>
      </c>
      <c r="J257" s="4">
        <v>0.7</v>
      </c>
      <c r="K257" s="4">
        <v>0.4</v>
      </c>
      <c r="L257" s="2">
        <v>-0.1</v>
      </c>
      <c r="M257" s="33">
        <f t="shared" si="11"/>
        <v>0</v>
      </c>
      <c r="N257" s="33"/>
      <c r="U257" s="4"/>
      <c r="V257" s="4"/>
      <c r="W257" s="4"/>
      <c r="X257" s="4"/>
    </row>
    <row r="258" spans="1:24" ht="24.75" customHeight="1">
      <c r="A258" s="12">
        <v>104</v>
      </c>
      <c r="B258" s="1"/>
      <c r="C258" s="16" t="s">
        <v>12</v>
      </c>
      <c r="D258" s="70" t="s">
        <v>91</v>
      </c>
      <c r="E258" s="24">
        <f t="shared" si="13"/>
        <v>58.2</v>
      </c>
      <c r="F258" s="24">
        <v>58.2</v>
      </c>
      <c r="G258" s="24">
        <v>35.2</v>
      </c>
      <c r="H258" s="24"/>
      <c r="I258" s="4">
        <f t="shared" si="12"/>
        <v>-6.9</v>
      </c>
      <c r="J258" s="4">
        <v>-6.9</v>
      </c>
      <c r="K258" s="4">
        <v>0.7</v>
      </c>
      <c r="M258" s="33">
        <f t="shared" si="11"/>
        <v>0</v>
      </c>
      <c r="N258" s="33"/>
      <c r="U258" s="4"/>
      <c r="V258" s="4"/>
      <c r="W258" s="4"/>
      <c r="X258" s="4"/>
    </row>
    <row r="259" spans="1:24" ht="24.75" customHeight="1">
      <c r="A259" s="12">
        <v>105</v>
      </c>
      <c r="B259" s="1"/>
      <c r="C259" s="16" t="s">
        <v>13</v>
      </c>
      <c r="D259" s="70" t="s">
        <v>91</v>
      </c>
      <c r="E259" s="24">
        <f t="shared" si="13"/>
        <v>145.5</v>
      </c>
      <c r="F259" s="24">
        <v>145.5</v>
      </c>
      <c r="G259" s="24">
        <v>88</v>
      </c>
      <c r="H259" s="24"/>
      <c r="I259" s="4">
        <f t="shared" si="12"/>
        <v>-13.299999999999999</v>
      </c>
      <c r="J259" s="4">
        <v>-16.4</v>
      </c>
      <c r="K259" s="4">
        <v>-13</v>
      </c>
      <c r="L259" s="2">
        <v>3.1</v>
      </c>
      <c r="M259" s="33">
        <f t="shared" si="11"/>
        <v>0</v>
      </c>
      <c r="N259" s="33"/>
      <c r="U259" s="4"/>
      <c r="V259" s="4"/>
      <c r="W259" s="4"/>
      <c r="X259" s="4"/>
    </row>
    <row r="260" spans="1:24" ht="16.5" customHeight="1">
      <c r="A260" s="12">
        <v>106</v>
      </c>
      <c r="B260" s="11" t="s">
        <v>30</v>
      </c>
      <c r="C260" s="20" t="s">
        <v>31</v>
      </c>
      <c r="D260" s="70"/>
      <c r="E260" s="60">
        <f t="shared" si="13"/>
        <v>40</v>
      </c>
      <c r="F260" s="60">
        <f aca="true" t="shared" si="14" ref="F260:H262">+F261</f>
        <v>40</v>
      </c>
      <c r="G260" s="26">
        <f t="shared" si="14"/>
        <v>0</v>
      </c>
      <c r="H260" s="26">
        <f t="shared" si="14"/>
        <v>0</v>
      </c>
      <c r="I260" s="4">
        <f t="shared" si="12"/>
        <v>0</v>
      </c>
      <c r="J260" s="4"/>
      <c r="K260" s="4"/>
      <c r="M260" s="33">
        <f t="shared" si="11"/>
        <v>0</v>
      </c>
      <c r="N260" s="33"/>
      <c r="U260" s="4"/>
      <c r="V260" s="4"/>
      <c r="W260" s="4"/>
      <c r="X260" s="4"/>
    </row>
    <row r="261" spans="1:24" ht="16.5" customHeight="1">
      <c r="A261" s="12">
        <v>107</v>
      </c>
      <c r="B261" s="11"/>
      <c r="C261" s="18" t="s">
        <v>61</v>
      </c>
      <c r="D261" s="70"/>
      <c r="E261" s="24">
        <f t="shared" si="13"/>
        <v>40</v>
      </c>
      <c r="F261" s="24">
        <f t="shared" si="14"/>
        <v>40</v>
      </c>
      <c r="G261" s="24">
        <f t="shared" si="14"/>
        <v>0</v>
      </c>
      <c r="H261" s="24">
        <f t="shared" si="14"/>
        <v>0</v>
      </c>
      <c r="I261" s="4">
        <f t="shared" si="12"/>
        <v>0</v>
      </c>
      <c r="J261" s="4"/>
      <c r="K261" s="4"/>
      <c r="M261" s="33">
        <f t="shared" si="11"/>
        <v>0</v>
      </c>
      <c r="N261" s="33"/>
      <c r="U261" s="4"/>
      <c r="V261" s="4"/>
      <c r="W261" s="4"/>
      <c r="X261" s="4"/>
    </row>
    <row r="262" spans="1:24" ht="41.25" customHeight="1">
      <c r="A262" s="56" t="s">
        <v>406</v>
      </c>
      <c r="B262" s="1"/>
      <c r="C262" s="37" t="s">
        <v>318</v>
      </c>
      <c r="D262" s="45"/>
      <c r="E262" s="60">
        <f t="shared" si="13"/>
        <v>40</v>
      </c>
      <c r="F262" s="60">
        <f t="shared" si="14"/>
        <v>40</v>
      </c>
      <c r="G262" s="60">
        <f t="shared" si="14"/>
        <v>0</v>
      </c>
      <c r="H262" s="60">
        <f t="shared" si="14"/>
        <v>0</v>
      </c>
      <c r="I262" s="4">
        <f t="shared" si="12"/>
        <v>0</v>
      </c>
      <c r="J262" s="4"/>
      <c r="K262" s="4"/>
      <c r="M262" s="33">
        <f t="shared" si="11"/>
        <v>0</v>
      </c>
      <c r="N262" s="33"/>
      <c r="U262" s="4"/>
      <c r="V262" s="4"/>
      <c r="W262" s="4"/>
      <c r="X262" s="4"/>
    </row>
    <row r="263" spans="1:24" ht="30" customHeight="1">
      <c r="A263" s="58" t="s">
        <v>407</v>
      </c>
      <c r="B263" s="1"/>
      <c r="C263" s="16" t="s">
        <v>346</v>
      </c>
      <c r="D263" s="70" t="s">
        <v>160</v>
      </c>
      <c r="E263" s="24">
        <f t="shared" si="13"/>
        <v>40</v>
      </c>
      <c r="F263" s="24">
        <v>40</v>
      </c>
      <c r="G263" s="24"/>
      <c r="H263" s="24"/>
      <c r="I263" s="4">
        <f t="shared" si="12"/>
        <v>0</v>
      </c>
      <c r="J263" s="4"/>
      <c r="K263" s="4"/>
      <c r="M263" s="33">
        <f aca="true" t="shared" si="15" ref="M263:M303">+N263+T263</f>
        <v>0</v>
      </c>
      <c r="N263" s="33"/>
      <c r="U263" s="4"/>
      <c r="V263" s="4"/>
      <c r="W263" s="4"/>
      <c r="X263" s="4"/>
    </row>
    <row r="264" spans="1:24" ht="19.5" customHeight="1">
      <c r="A264" s="12">
        <v>108</v>
      </c>
      <c r="B264" s="11" t="s">
        <v>95</v>
      </c>
      <c r="C264" s="20" t="s">
        <v>96</v>
      </c>
      <c r="D264" s="10"/>
      <c r="E264" s="26">
        <f t="shared" si="13"/>
        <v>30</v>
      </c>
      <c r="F264" s="26">
        <f>+F265</f>
        <v>30</v>
      </c>
      <c r="G264" s="26">
        <f>+G265</f>
        <v>0</v>
      </c>
      <c r="H264" s="26">
        <f>+H265</f>
        <v>0</v>
      </c>
      <c r="I264" s="4">
        <f t="shared" si="12"/>
        <v>0</v>
      </c>
      <c r="J264" s="4"/>
      <c r="K264" s="4"/>
      <c r="M264" s="33">
        <f t="shared" si="15"/>
        <v>0</v>
      </c>
      <c r="N264" s="33"/>
      <c r="U264" s="4"/>
      <c r="V264" s="4"/>
      <c r="W264" s="4"/>
      <c r="X264" s="4"/>
    </row>
    <row r="265" spans="1:24" ht="12" customHeight="1">
      <c r="A265" s="12">
        <v>109</v>
      </c>
      <c r="B265" s="11"/>
      <c r="C265" s="18" t="s">
        <v>253</v>
      </c>
      <c r="D265" s="10"/>
      <c r="E265" s="24">
        <f t="shared" si="13"/>
        <v>30</v>
      </c>
      <c r="F265" s="24">
        <f>+F266+F267</f>
        <v>30</v>
      </c>
      <c r="G265" s="24">
        <f>SUM(G266:G266)</f>
        <v>0</v>
      </c>
      <c r="H265" s="24">
        <f>SUM(H266:H266)</f>
        <v>0</v>
      </c>
      <c r="I265" s="4">
        <f t="shared" si="12"/>
        <v>0</v>
      </c>
      <c r="J265" s="4"/>
      <c r="K265" s="4"/>
      <c r="M265" s="33">
        <f t="shared" si="15"/>
        <v>0</v>
      </c>
      <c r="N265" s="33"/>
      <c r="U265" s="4"/>
      <c r="V265" s="4"/>
      <c r="W265" s="4"/>
      <c r="X265" s="4"/>
    </row>
    <row r="266" spans="1:24" ht="24.75" customHeight="1">
      <c r="A266" s="58" t="s">
        <v>408</v>
      </c>
      <c r="B266" s="1"/>
      <c r="C266" s="28" t="s">
        <v>347</v>
      </c>
      <c r="D266" s="14" t="s">
        <v>97</v>
      </c>
      <c r="E266" s="24">
        <f t="shared" si="13"/>
        <v>29</v>
      </c>
      <c r="F266" s="24">
        <v>29</v>
      </c>
      <c r="G266" s="24"/>
      <c r="H266" s="24"/>
      <c r="I266" s="4">
        <f t="shared" si="12"/>
        <v>0</v>
      </c>
      <c r="J266" s="4"/>
      <c r="K266" s="4"/>
      <c r="M266" s="33">
        <f t="shared" si="15"/>
        <v>0</v>
      </c>
      <c r="N266" s="33"/>
      <c r="U266" s="4"/>
      <c r="V266" s="4"/>
      <c r="W266" s="4"/>
      <c r="X266" s="4"/>
    </row>
    <row r="267" spans="1:24" ht="24.75" customHeight="1">
      <c r="A267" s="58" t="s">
        <v>409</v>
      </c>
      <c r="B267" s="1"/>
      <c r="C267" s="28" t="s">
        <v>99</v>
      </c>
      <c r="D267" s="14" t="s">
        <v>140</v>
      </c>
      <c r="E267" s="24">
        <f t="shared" si="13"/>
        <v>1</v>
      </c>
      <c r="F267" s="24">
        <v>1</v>
      </c>
      <c r="G267" s="24"/>
      <c r="H267" s="24"/>
      <c r="I267" s="4">
        <f t="shared" si="12"/>
        <v>0</v>
      </c>
      <c r="J267" s="4"/>
      <c r="K267" s="4"/>
      <c r="M267" s="33">
        <f t="shared" si="15"/>
        <v>0</v>
      </c>
      <c r="N267" s="33"/>
      <c r="U267" s="4"/>
      <c r="V267" s="4"/>
      <c r="W267" s="4"/>
      <c r="X267" s="4"/>
    </row>
    <row r="268" spans="1:24" ht="19.5" customHeight="1">
      <c r="A268" s="12">
        <v>110</v>
      </c>
      <c r="B268" s="11" t="s">
        <v>26</v>
      </c>
      <c r="C268" s="20" t="s">
        <v>27</v>
      </c>
      <c r="D268" s="10"/>
      <c r="E268" s="26">
        <f t="shared" si="13"/>
        <v>6349.700000000001</v>
      </c>
      <c r="F268" s="26">
        <f>+F269+F270+F271+F279+F282+F284+F286+F288+F290+F292+F294+F296+F298+F300+F302</f>
        <v>6253.000000000001</v>
      </c>
      <c r="G268" s="26">
        <f>+G269+G270+G271+G279+G282+G284+G286+G288+G290+G292+G294+G296+G298+G300+G302</f>
        <v>3090.2000000000003</v>
      </c>
      <c r="H268" s="26">
        <f>+H269+H270+H271+H279+H282+H284+H286+H288+H290+H292+H294+H296+H298+H300+H302</f>
        <v>96.7</v>
      </c>
      <c r="I268" s="4">
        <f t="shared" si="12"/>
        <v>0</v>
      </c>
      <c r="J268" s="4"/>
      <c r="K268" s="4"/>
      <c r="M268" s="33">
        <f t="shared" si="15"/>
        <v>0</v>
      </c>
      <c r="N268" s="33"/>
      <c r="U268" s="4"/>
      <c r="V268" s="4"/>
      <c r="W268" s="4"/>
      <c r="X268" s="4"/>
    </row>
    <row r="269" spans="1:24" ht="15" customHeight="1">
      <c r="A269" s="12">
        <v>111</v>
      </c>
      <c r="B269" s="11"/>
      <c r="C269" s="16" t="s">
        <v>28</v>
      </c>
      <c r="D269" s="14" t="s">
        <v>29</v>
      </c>
      <c r="E269" s="24">
        <f t="shared" si="13"/>
        <v>13.2</v>
      </c>
      <c r="F269" s="24">
        <v>13.2</v>
      </c>
      <c r="G269" s="24">
        <v>8.4</v>
      </c>
      <c r="H269" s="24"/>
      <c r="I269" s="4">
        <f t="shared" si="12"/>
        <v>0</v>
      </c>
      <c r="J269" s="4"/>
      <c r="K269" s="4"/>
      <c r="M269" s="33">
        <f t="shared" si="15"/>
        <v>0</v>
      </c>
      <c r="N269" s="33"/>
      <c r="U269" s="4"/>
      <c r="V269" s="4"/>
      <c r="W269" s="4"/>
      <c r="X269" s="4"/>
    </row>
    <row r="270" spans="1:24" ht="15" customHeight="1">
      <c r="A270" s="12">
        <v>112</v>
      </c>
      <c r="B270" s="11"/>
      <c r="C270" s="18" t="s">
        <v>98</v>
      </c>
      <c r="D270" s="14" t="s">
        <v>111</v>
      </c>
      <c r="E270" s="24">
        <f t="shared" si="13"/>
        <v>119.5</v>
      </c>
      <c r="F270" s="24">
        <v>119.5</v>
      </c>
      <c r="G270" s="24">
        <v>109.1</v>
      </c>
      <c r="H270" s="24"/>
      <c r="I270" s="4">
        <f t="shared" si="12"/>
        <v>2</v>
      </c>
      <c r="J270" s="4">
        <v>2</v>
      </c>
      <c r="K270" s="4">
        <v>2</v>
      </c>
      <c r="M270" s="33">
        <f t="shared" si="15"/>
        <v>0</v>
      </c>
      <c r="N270" s="33"/>
      <c r="U270" s="4"/>
      <c r="V270" s="4"/>
      <c r="W270" s="4"/>
      <c r="X270" s="4"/>
    </row>
    <row r="271" spans="1:24" ht="15" customHeight="1">
      <c r="A271" s="12">
        <v>113</v>
      </c>
      <c r="B271" s="11"/>
      <c r="C271" s="18" t="s">
        <v>253</v>
      </c>
      <c r="D271" s="14"/>
      <c r="E271" s="24">
        <f t="shared" si="13"/>
        <v>4281.1</v>
      </c>
      <c r="F271" s="24">
        <f>+F272+F278+F273+F274+F275+F276+F277</f>
        <v>4184.400000000001</v>
      </c>
      <c r="G271" s="24">
        <f>+G272+G278+G273+G274+G275+G276+G277</f>
        <v>2106.5</v>
      </c>
      <c r="H271" s="24">
        <f>+H272+H278+H273+H274+H275+H276+H277</f>
        <v>96.7</v>
      </c>
      <c r="I271" s="4">
        <f t="shared" si="12"/>
        <v>0</v>
      </c>
      <c r="J271" s="4"/>
      <c r="K271" s="4"/>
      <c r="M271" s="33">
        <f t="shared" si="15"/>
        <v>0</v>
      </c>
      <c r="N271" s="33"/>
      <c r="U271" s="4"/>
      <c r="V271" s="4"/>
      <c r="W271" s="4"/>
      <c r="X271" s="4"/>
    </row>
    <row r="272" spans="1:24" ht="93.75" customHeight="1">
      <c r="A272" s="58" t="s">
        <v>410</v>
      </c>
      <c r="B272" s="11"/>
      <c r="C272" s="18" t="s">
        <v>99</v>
      </c>
      <c r="D272" s="14" t="s">
        <v>137</v>
      </c>
      <c r="E272" s="24">
        <f>+F272+H272</f>
        <v>3632</v>
      </c>
      <c r="F272" s="24">
        <f>3605.3-40-30</f>
        <v>3535.3</v>
      </c>
      <c r="G272" s="24">
        <v>2106.5</v>
      </c>
      <c r="H272" s="24">
        <v>96.7</v>
      </c>
      <c r="I272" s="4">
        <f t="shared" si="12"/>
        <v>16.6</v>
      </c>
      <c r="J272" s="4">
        <v>16.6</v>
      </c>
      <c r="K272" s="4">
        <v>-16.3</v>
      </c>
      <c r="M272" s="33">
        <f t="shared" si="15"/>
        <v>-30</v>
      </c>
      <c r="N272" s="33">
        <v>-30</v>
      </c>
      <c r="U272" s="4"/>
      <c r="V272" s="4"/>
      <c r="W272" s="4"/>
      <c r="X272" s="4"/>
    </row>
    <row r="273" spans="1:24" ht="24.75" customHeight="1">
      <c r="A273" s="58" t="s">
        <v>411</v>
      </c>
      <c r="B273" s="1"/>
      <c r="C273" s="28" t="s">
        <v>167</v>
      </c>
      <c r="D273" s="14" t="s">
        <v>124</v>
      </c>
      <c r="E273" s="24">
        <f aca="true" t="shared" si="16" ref="E273:E302">+F273+H273</f>
        <v>317</v>
      </c>
      <c r="F273" s="24">
        <f>30+285+2</f>
        <v>317</v>
      </c>
      <c r="G273" s="24"/>
      <c r="H273" s="24"/>
      <c r="I273" s="4">
        <f t="shared" si="12"/>
        <v>0</v>
      </c>
      <c r="J273" s="4"/>
      <c r="K273" s="4"/>
      <c r="M273" s="33">
        <f t="shared" si="15"/>
        <v>0</v>
      </c>
      <c r="N273" s="33"/>
      <c r="U273" s="4"/>
      <c r="V273" s="4"/>
      <c r="W273" s="4"/>
      <c r="X273" s="4"/>
    </row>
    <row r="274" spans="1:24" ht="27.75" customHeight="1">
      <c r="A274" s="58" t="s">
        <v>412</v>
      </c>
      <c r="B274" s="1"/>
      <c r="C274" s="28" t="s">
        <v>168</v>
      </c>
      <c r="D274" s="14" t="s">
        <v>32</v>
      </c>
      <c r="E274" s="24">
        <f t="shared" si="16"/>
        <v>15</v>
      </c>
      <c r="F274" s="24">
        <f>20-5</f>
        <v>15</v>
      </c>
      <c r="G274" s="24"/>
      <c r="H274" s="24"/>
      <c r="I274" s="4">
        <f t="shared" si="12"/>
        <v>0</v>
      </c>
      <c r="J274" s="4"/>
      <c r="K274" s="4"/>
      <c r="M274" s="33">
        <f t="shared" si="15"/>
        <v>0</v>
      </c>
      <c r="N274" s="33"/>
      <c r="U274" s="4"/>
      <c r="V274" s="4"/>
      <c r="W274" s="4"/>
      <c r="X274" s="4"/>
    </row>
    <row r="275" spans="1:24" ht="15" customHeight="1">
      <c r="A275" s="58" t="s">
        <v>413</v>
      </c>
      <c r="B275" s="1"/>
      <c r="C275" s="28" t="s">
        <v>212</v>
      </c>
      <c r="D275" s="14" t="s">
        <v>101</v>
      </c>
      <c r="E275" s="24">
        <f>+F275+H275</f>
        <v>250</v>
      </c>
      <c r="F275" s="24">
        <v>250</v>
      </c>
      <c r="G275" s="24"/>
      <c r="H275" s="24"/>
      <c r="I275" s="4">
        <f>+J275+L275</f>
        <v>0</v>
      </c>
      <c r="J275" s="4"/>
      <c r="K275" s="4"/>
      <c r="M275" s="33">
        <f t="shared" si="15"/>
        <v>0</v>
      </c>
      <c r="N275" s="33"/>
      <c r="U275" s="4"/>
      <c r="V275" s="4"/>
      <c r="W275" s="4"/>
      <c r="X275" s="4"/>
    </row>
    <row r="276" spans="1:24" ht="15" customHeight="1">
      <c r="A276" s="58" t="s">
        <v>414</v>
      </c>
      <c r="B276" s="1"/>
      <c r="C276" s="28" t="s">
        <v>425</v>
      </c>
      <c r="D276" s="14" t="s">
        <v>32</v>
      </c>
      <c r="E276" s="24">
        <f t="shared" si="16"/>
        <v>21.5</v>
      </c>
      <c r="F276" s="24">
        <v>21.5</v>
      </c>
      <c r="G276" s="24"/>
      <c r="H276" s="24"/>
      <c r="I276" s="4">
        <f aca="true" t="shared" si="17" ref="I276:I303">+J276+L276</f>
        <v>0</v>
      </c>
      <c r="J276" s="4"/>
      <c r="K276" s="4"/>
      <c r="M276" s="33">
        <f t="shared" si="15"/>
        <v>0</v>
      </c>
      <c r="N276" s="33"/>
      <c r="U276" s="4"/>
      <c r="V276" s="4"/>
      <c r="W276" s="4"/>
      <c r="X276" s="4"/>
    </row>
    <row r="277" spans="1:24" ht="25.5">
      <c r="A277" s="58" t="s">
        <v>415</v>
      </c>
      <c r="B277" s="1"/>
      <c r="C277" s="38" t="s">
        <v>296</v>
      </c>
      <c r="D277" s="14" t="s">
        <v>32</v>
      </c>
      <c r="E277" s="24">
        <f>+F277+H277</f>
        <v>33.6</v>
      </c>
      <c r="F277" s="24">
        <v>33.6</v>
      </c>
      <c r="G277" s="24"/>
      <c r="H277" s="24"/>
      <c r="I277" s="4">
        <f t="shared" si="17"/>
        <v>-15.5</v>
      </c>
      <c r="J277" s="4">
        <v>-4.5</v>
      </c>
      <c r="K277" s="4"/>
      <c r="L277" s="2">
        <v>-11</v>
      </c>
      <c r="M277" s="33">
        <f t="shared" si="15"/>
        <v>0</v>
      </c>
      <c r="N277" s="33"/>
      <c r="U277" s="4"/>
      <c r="V277" s="4"/>
      <c r="W277" s="4"/>
      <c r="X277" s="4"/>
    </row>
    <row r="278" spans="1:24" ht="28.5" customHeight="1">
      <c r="A278" s="58" t="s">
        <v>416</v>
      </c>
      <c r="B278" s="1"/>
      <c r="C278" s="28" t="s">
        <v>283</v>
      </c>
      <c r="D278" s="14" t="s">
        <v>100</v>
      </c>
      <c r="E278" s="24">
        <f>+F278+H278</f>
        <v>12</v>
      </c>
      <c r="F278" s="24">
        <v>12</v>
      </c>
      <c r="G278" s="24"/>
      <c r="H278" s="24"/>
      <c r="I278" s="4">
        <f>+J278+L278</f>
        <v>0</v>
      </c>
      <c r="J278" s="4"/>
      <c r="K278" s="4"/>
      <c r="M278" s="33">
        <f t="shared" si="15"/>
        <v>0</v>
      </c>
      <c r="N278" s="33"/>
      <c r="U278" s="4"/>
      <c r="V278" s="4"/>
      <c r="W278" s="4"/>
      <c r="X278" s="4"/>
    </row>
    <row r="279" spans="1:24" ht="12" customHeight="1">
      <c r="A279" s="58">
        <v>114</v>
      </c>
      <c r="B279" s="1"/>
      <c r="C279" s="18" t="s">
        <v>99</v>
      </c>
      <c r="D279" s="14"/>
      <c r="E279" s="24">
        <f>+F279+H279</f>
        <v>836</v>
      </c>
      <c r="F279" s="24">
        <f>+F280+F281</f>
        <v>836</v>
      </c>
      <c r="G279" s="24">
        <f>+G280+G281</f>
        <v>0</v>
      </c>
      <c r="H279" s="24">
        <f>+H280+H281</f>
        <v>0</v>
      </c>
      <c r="I279" s="4">
        <f t="shared" si="17"/>
        <v>0</v>
      </c>
      <c r="J279" s="4"/>
      <c r="K279" s="4"/>
      <c r="M279" s="33">
        <f t="shared" si="15"/>
        <v>0</v>
      </c>
      <c r="N279" s="33"/>
      <c r="U279" s="4"/>
      <c r="V279" s="4"/>
      <c r="W279" s="4"/>
      <c r="X279" s="4"/>
    </row>
    <row r="280" spans="1:24" ht="12" customHeight="1">
      <c r="A280" s="58" t="s">
        <v>288</v>
      </c>
      <c r="B280" s="1"/>
      <c r="C280" s="28" t="s">
        <v>349</v>
      </c>
      <c r="D280" s="14" t="s">
        <v>102</v>
      </c>
      <c r="E280" s="24">
        <f t="shared" si="16"/>
        <v>56</v>
      </c>
      <c r="F280" s="24">
        <v>56</v>
      </c>
      <c r="G280" s="24"/>
      <c r="H280" s="24"/>
      <c r="I280" s="4">
        <f t="shared" si="17"/>
        <v>0</v>
      </c>
      <c r="J280" s="4"/>
      <c r="K280" s="4"/>
      <c r="M280" s="33">
        <f t="shared" si="15"/>
        <v>0</v>
      </c>
      <c r="N280" s="33"/>
      <c r="U280" s="4"/>
      <c r="V280" s="4"/>
      <c r="W280" s="4"/>
      <c r="X280" s="4"/>
    </row>
    <row r="281" spans="1:24" ht="12" customHeight="1">
      <c r="A281" s="58" t="s">
        <v>289</v>
      </c>
      <c r="B281" s="1"/>
      <c r="C281" s="28" t="s">
        <v>348</v>
      </c>
      <c r="D281" s="14" t="s">
        <v>102</v>
      </c>
      <c r="E281" s="24">
        <f>+F281+H281</f>
        <v>780</v>
      </c>
      <c r="F281" s="24">
        <v>780</v>
      </c>
      <c r="G281" s="24"/>
      <c r="H281" s="24"/>
      <c r="I281" s="4">
        <f>+J281+L281</f>
        <v>0</v>
      </c>
      <c r="J281" s="4"/>
      <c r="K281" s="4"/>
      <c r="M281" s="33">
        <f t="shared" si="15"/>
        <v>0</v>
      </c>
      <c r="N281" s="33"/>
      <c r="U281" s="4"/>
      <c r="V281" s="4"/>
      <c r="W281" s="4"/>
      <c r="X281" s="4"/>
    </row>
    <row r="282" spans="1:24" ht="24.75" customHeight="1">
      <c r="A282" s="83">
        <v>115</v>
      </c>
      <c r="B282" s="73"/>
      <c r="C282" s="16" t="s">
        <v>7</v>
      </c>
      <c r="D282" s="36" t="s">
        <v>122</v>
      </c>
      <c r="E282" s="24">
        <f>+F282+H282</f>
        <v>162.7</v>
      </c>
      <c r="F282" s="24">
        <v>162.7</v>
      </c>
      <c r="G282" s="24">
        <v>131</v>
      </c>
      <c r="H282" s="24"/>
      <c r="I282" s="4">
        <f t="shared" si="17"/>
        <v>-5.199999999999999</v>
      </c>
      <c r="J282" s="4">
        <f>-8+1.4</f>
        <v>-6.6</v>
      </c>
      <c r="K282" s="4">
        <f>-12.1+1.4</f>
        <v>-10.7</v>
      </c>
      <c r="L282" s="4">
        <v>1.4</v>
      </c>
      <c r="M282" s="33">
        <f t="shared" si="15"/>
        <v>0</v>
      </c>
      <c r="N282" s="33"/>
      <c r="U282" s="4"/>
      <c r="V282" s="4"/>
      <c r="W282" s="4"/>
      <c r="X282" s="4"/>
    </row>
    <row r="283" spans="1:24" ht="15" customHeight="1">
      <c r="A283" s="84"/>
      <c r="B283" s="74"/>
      <c r="C283" s="49" t="s">
        <v>189</v>
      </c>
      <c r="D283" s="14" t="s">
        <v>33</v>
      </c>
      <c r="E283" s="24">
        <f>+F283+H283</f>
        <v>5.3</v>
      </c>
      <c r="F283" s="24">
        <v>5.3</v>
      </c>
      <c r="G283" s="24">
        <v>5.2</v>
      </c>
      <c r="H283" s="24"/>
      <c r="I283" s="4">
        <f t="shared" si="17"/>
        <v>0</v>
      </c>
      <c r="J283" s="4"/>
      <c r="K283" s="4"/>
      <c r="M283" s="33">
        <f t="shared" si="15"/>
        <v>0</v>
      </c>
      <c r="N283" s="33"/>
      <c r="U283" s="4"/>
      <c r="V283" s="4"/>
      <c r="W283" s="4"/>
      <c r="X283" s="4"/>
    </row>
    <row r="284" spans="1:24" ht="27.75" customHeight="1">
      <c r="A284" s="83">
        <v>116</v>
      </c>
      <c r="B284" s="94"/>
      <c r="C284" s="16" t="s">
        <v>3</v>
      </c>
      <c r="D284" s="14" t="s">
        <v>122</v>
      </c>
      <c r="E284" s="24">
        <f t="shared" si="16"/>
        <v>92.8</v>
      </c>
      <c r="F284" s="24">
        <v>92.8</v>
      </c>
      <c r="G284" s="24">
        <v>83.8</v>
      </c>
      <c r="H284" s="24"/>
      <c r="I284" s="4">
        <f t="shared" si="17"/>
        <v>-2.4</v>
      </c>
      <c r="J284" s="4">
        <v>-2.4</v>
      </c>
      <c r="K284" s="4">
        <v>-2.9</v>
      </c>
      <c r="L284" s="4"/>
      <c r="M284" s="33">
        <f t="shared" si="15"/>
        <v>0</v>
      </c>
      <c r="N284" s="33"/>
      <c r="U284" s="4"/>
      <c r="V284" s="4"/>
      <c r="W284" s="4"/>
      <c r="X284" s="4"/>
    </row>
    <row r="285" spans="1:24" ht="15.75" customHeight="1">
      <c r="A285" s="84"/>
      <c r="B285" s="94"/>
      <c r="C285" s="49" t="s">
        <v>189</v>
      </c>
      <c r="D285" s="14" t="s">
        <v>33</v>
      </c>
      <c r="E285" s="24">
        <f t="shared" si="16"/>
        <v>2.6</v>
      </c>
      <c r="F285" s="24">
        <v>2.6</v>
      </c>
      <c r="G285" s="24">
        <v>2.6</v>
      </c>
      <c r="H285" s="24"/>
      <c r="I285" s="4">
        <f t="shared" si="17"/>
        <v>0</v>
      </c>
      <c r="J285" s="4"/>
      <c r="K285" s="4"/>
      <c r="M285" s="33">
        <f t="shared" si="15"/>
        <v>0</v>
      </c>
      <c r="N285" s="33"/>
      <c r="U285" s="4"/>
      <c r="V285" s="4"/>
      <c r="W285" s="4"/>
      <c r="X285" s="4"/>
    </row>
    <row r="286" spans="1:24" ht="25.5">
      <c r="A286" s="83">
        <v>117</v>
      </c>
      <c r="B286" s="94"/>
      <c r="C286" s="16" t="s">
        <v>4</v>
      </c>
      <c r="D286" s="14" t="s">
        <v>122</v>
      </c>
      <c r="E286" s="24">
        <f t="shared" si="16"/>
        <v>101.8</v>
      </c>
      <c r="F286" s="24">
        <v>101.8</v>
      </c>
      <c r="G286" s="24">
        <v>72.6</v>
      </c>
      <c r="H286" s="24"/>
      <c r="I286" s="4">
        <f t="shared" si="17"/>
        <v>2.7</v>
      </c>
      <c r="J286" s="4">
        <v>2.2</v>
      </c>
      <c r="K286" s="4">
        <v>2.2</v>
      </c>
      <c r="L286" s="4">
        <v>0.5</v>
      </c>
      <c r="M286" s="33">
        <f t="shared" si="15"/>
        <v>0</v>
      </c>
      <c r="N286" s="33"/>
      <c r="U286" s="4"/>
      <c r="V286" s="4"/>
      <c r="W286" s="4"/>
      <c r="X286" s="4"/>
    </row>
    <row r="287" spans="1:24" ht="13.5" customHeight="1">
      <c r="A287" s="84"/>
      <c r="B287" s="94"/>
      <c r="C287" s="49" t="s">
        <v>189</v>
      </c>
      <c r="D287" s="14" t="s">
        <v>33</v>
      </c>
      <c r="E287" s="24">
        <f t="shared" si="16"/>
        <v>2.6</v>
      </c>
      <c r="F287" s="24">
        <v>2.6</v>
      </c>
      <c r="G287" s="24">
        <v>2.6</v>
      </c>
      <c r="H287" s="24"/>
      <c r="I287" s="4">
        <f t="shared" si="17"/>
        <v>0</v>
      </c>
      <c r="J287" s="4"/>
      <c r="K287" s="4"/>
      <c r="M287" s="33">
        <f t="shared" si="15"/>
        <v>0</v>
      </c>
      <c r="N287" s="33"/>
      <c r="U287" s="4"/>
      <c r="V287" s="4"/>
      <c r="W287" s="4"/>
      <c r="X287" s="4"/>
    </row>
    <row r="288" spans="1:24" ht="24.75" customHeight="1">
      <c r="A288" s="83">
        <v>118</v>
      </c>
      <c r="B288" s="94"/>
      <c r="C288" s="16" t="s">
        <v>6</v>
      </c>
      <c r="D288" s="14" t="s">
        <v>122</v>
      </c>
      <c r="E288" s="24">
        <f>+F288+H288</f>
        <v>88.5</v>
      </c>
      <c r="F288" s="24">
        <v>88.5</v>
      </c>
      <c r="G288" s="24">
        <v>68.7</v>
      </c>
      <c r="H288" s="24"/>
      <c r="I288" s="4">
        <f t="shared" si="17"/>
        <v>1.9</v>
      </c>
      <c r="J288" s="4">
        <v>1.9</v>
      </c>
      <c r="K288" s="4">
        <v>0.3</v>
      </c>
      <c r="M288" s="33">
        <f t="shared" si="15"/>
        <v>0</v>
      </c>
      <c r="N288" s="33"/>
      <c r="U288" s="4"/>
      <c r="V288" s="4"/>
      <c r="W288" s="4"/>
      <c r="X288" s="4"/>
    </row>
    <row r="289" spans="1:24" ht="16.5" customHeight="1">
      <c r="A289" s="84"/>
      <c r="B289" s="94"/>
      <c r="C289" s="49" t="s">
        <v>189</v>
      </c>
      <c r="D289" s="14" t="s">
        <v>33</v>
      </c>
      <c r="E289" s="24">
        <f>+F289+H289</f>
        <v>2.6</v>
      </c>
      <c r="F289" s="24">
        <v>2.6</v>
      </c>
      <c r="G289" s="24">
        <v>2.6</v>
      </c>
      <c r="H289" s="24"/>
      <c r="I289" s="4">
        <f t="shared" si="17"/>
        <v>0</v>
      </c>
      <c r="J289" s="4"/>
      <c r="K289" s="4"/>
      <c r="M289" s="33">
        <f t="shared" si="15"/>
        <v>0</v>
      </c>
      <c r="N289" s="33"/>
      <c r="U289" s="4"/>
      <c r="V289" s="4"/>
      <c r="W289" s="4"/>
      <c r="X289" s="4"/>
    </row>
    <row r="290" spans="1:24" ht="24.75" customHeight="1">
      <c r="A290" s="83">
        <v>119</v>
      </c>
      <c r="B290" s="94"/>
      <c r="C290" s="16" t="s">
        <v>5</v>
      </c>
      <c r="D290" s="36" t="s">
        <v>122</v>
      </c>
      <c r="E290" s="24">
        <f t="shared" si="16"/>
        <v>85.5</v>
      </c>
      <c r="F290" s="24">
        <v>85.5</v>
      </c>
      <c r="G290" s="24">
        <v>71.4</v>
      </c>
      <c r="H290" s="24"/>
      <c r="I290" s="4">
        <f t="shared" si="17"/>
        <v>8.600000000000001</v>
      </c>
      <c r="J290" s="4">
        <f>5.4+3.2</f>
        <v>8.600000000000001</v>
      </c>
      <c r="K290" s="4">
        <f>3.7+3.2</f>
        <v>6.9</v>
      </c>
      <c r="M290" s="33">
        <f t="shared" si="15"/>
        <v>0</v>
      </c>
      <c r="N290" s="33"/>
      <c r="U290" s="4"/>
      <c r="V290" s="4"/>
      <c r="W290" s="4"/>
      <c r="X290" s="4"/>
    </row>
    <row r="291" spans="1:24" ht="12" customHeight="1">
      <c r="A291" s="84"/>
      <c r="B291" s="94"/>
      <c r="C291" s="49" t="s">
        <v>189</v>
      </c>
      <c r="D291" s="14" t="s">
        <v>33</v>
      </c>
      <c r="E291" s="24">
        <f>+F291+H291</f>
        <v>2.6</v>
      </c>
      <c r="F291" s="24">
        <v>2.6</v>
      </c>
      <c r="G291" s="24">
        <v>2.6</v>
      </c>
      <c r="H291" s="24"/>
      <c r="I291" s="4">
        <f t="shared" si="17"/>
        <v>0</v>
      </c>
      <c r="J291" s="4"/>
      <c r="K291" s="4"/>
      <c r="M291" s="33">
        <f t="shared" si="15"/>
        <v>0</v>
      </c>
      <c r="N291" s="33"/>
      <c r="U291" s="4"/>
      <c r="V291" s="4"/>
      <c r="W291" s="4"/>
      <c r="X291" s="4"/>
    </row>
    <row r="292" spans="1:24" ht="24.75" customHeight="1">
      <c r="A292" s="83">
        <v>120</v>
      </c>
      <c r="B292" s="94"/>
      <c r="C292" s="16" t="s">
        <v>8</v>
      </c>
      <c r="D292" s="14" t="s">
        <v>122</v>
      </c>
      <c r="E292" s="24">
        <f t="shared" si="16"/>
        <v>86</v>
      </c>
      <c r="F292" s="24">
        <v>86</v>
      </c>
      <c r="G292" s="24">
        <v>67.5</v>
      </c>
      <c r="H292" s="24"/>
      <c r="I292" s="4">
        <f t="shared" si="17"/>
        <v>-1.1</v>
      </c>
      <c r="J292" s="4">
        <v>-1.1</v>
      </c>
      <c r="K292" s="4">
        <v>-2</v>
      </c>
      <c r="M292" s="33">
        <f t="shared" si="15"/>
        <v>0</v>
      </c>
      <c r="N292" s="33"/>
      <c r="U292" s="4"/>
      <c r="V292" s="4"/>
      <c r="W292" s="4"/>
      <c r="X292" s="4"/>
    </row>
    <row r="293" spans="1:24" ht="12.75" customHeight="1">
      <c r="A293" s="84"/>
      <c r="B293" s="94"/>
      <c r="C293" s="49" t="s">
        <v>189</v>
      </c>
      <c r="D293" s="14" t="s">
        <v>33</v>
      </c>
      <c r="E293" s="24">
        <f>+F293+H293</f>
        <v>2.6</v>
      </c>
      <c r="F293" s="24">
        <v>2.6</v>
      </c>
      <c r="G293" s="24">
        <v>2.6</v>
      </c>
      <c r="H293" s="24"/>
      <c r="I293" s="4">
        <f t="shared" si="17"/>
        <v>0</v>
      </c>
      <c r="J293" s="4"/>
      <c r="K293" s="4"/>
      <c r="M293" s="33">
        <f t="shared" si="15"/>
        <v>0</v>
      </c>
      <c r="N293" s="33"/>
      <c r="U293" s="4"/>
      <c r="V293" s="4"/>
      <c r="W293" s="4"/>
      <c r="X293" s="4"/>
    </row>
    <row r="294" spans="1:24" ht="24.75" customHeight="1">
      <c r="A294" s="83">
        <v>121</v>
      </c>
      <c r="B294" s="94"/>
      <c r="C294" s="18" t="s">
        <v>9</v>
      </c>
      <c r="D294" s="14" t="s">
        <v>122</v>
      </c>
      <c r="E294" s="24">
        <f t="shared" si="16"/>
        <v>75.7</v>
      </c>
      <c r="F294" s="24">
        <v>75.7</v>
      </c>
      <c r="G294" s="24">
        <v>60.8</v>
      </c>
      <c r="H294" s="24"/>
      <c r="I294" s="4">
        <f t="shared" si="17"/>
        <v>3.9</v>
      </c>
      <c r="J294" s="4">
        <f>0.1+3.8</f>
        <v>3.9</v>
      </c>
      <c r="K294" s="4">
        <f>1.7+3.8</f>
        <v>5.5</v>
      </c>
      <c r="M294" s="33">
        <f t="shared" si="15"/>
        <v>0</v>
      </c>
      <c r="N294" s="33"/>
      <c r="U294" s="4"/>
      <c r="V294" s="4"/>
      <c r="W294" s="4"/>
      <c r="X294" s="4"/>
    </row>
    <row r="295" spans="1:24" ht="14.25" customHeight="1">
      <c r="A295" s="84"/>
      <c r="B295" s="94"/>
      <c r="C295" s="49" t="s">
        <v>189</v>
      </c>
      <c r="D295" s="14" t="s">
        <v>33</v>
      </c>
      <c r="E295" s="24">
        <f>+F295+H295</f>
        <v>2.6</v>
      </c>
      <c r="F295" s="24">
        <v>2.6</v>
      </c>
      <c r="G295" s="24">
        <v>2.6</v>
      </c>
      <c r="H295" s="24"/>
      <c r="I295" s="4">
        <f t="shared" si="17"/>
        <v>0</v>
      </c>
      <c r="J295" s="4"/>
      <c r="K295" s="4"/>
      <c r="M295" s="33">
        <f t="shared" si="15"/>
        <v>0</v>
      </c>
      <c r="N295" s="33"/>
      <c r="U295" s="4"/>
      <c r="V295" s="4"/>
      <c r="W295" s="4"/>
      <c r="X295" s="4"/>
    </row>
    <row r="296" spans="1:24" ht="24.75" customHeight="1">
      <c r="A296" s="83">
        <v>122</v>
      </c>
      <c r="B296" s="94"/>
      <c r="C296" s="16" t="s">
        <v>11</v>
      </c>
      <c r="D296" s="14" t="s">
        <v>122</v>
      </c>
      <c r="E296" s="24">
        <f>+F296+H296</f>
        <v>92.1</v>
      </c>
      <c r="F296" s="24">
        <v>92.1</v>
      </c>
      <c r="G296" s="24">
        <v>77.2</v>
      </c>
      <c r="H296" s="24"/>
      <c r="I296" s="4">
        <f t="shared" si="17"/>
        <v>16.400000000000002</v>
      </c>
      <c r="J296" s="4">
        <f>8.2+8.4</f>
        <v>16.6</v>
      </c>
      <c r="K296" s="4">
        <f>8.6+8.3</f>
        <v>16.9</v>
      </c>
      <c r="L296" s="2">
        <v>-0.2</v>
      </c>
      <c r="M296" s="33">
        <f t="shared" si="15"/>
        <v>0</v>
      </c>
      <c r="N296" s="33"/>
      <c r="U296" s="4"/>
      <c r="V296" s="4"/>
      <c r="W296" s="4"/>
      <c r="X296" s="4"/>
    </row>
    <row r="297" spans="1:24" ht="14.25" customHeight="1">
      <c r="A297" s="84"/>
      <c r="B297" s="94"/>
      <c r="C297" s="49" t="s">
        <v>189</v>
      </c>
      <c r="D297" s="14" t="s">
        <v>33</v>
      </c>
      <c r="E297" s="24">
        <f>+F297+H297</f>
        <v>2.7</v>
      </c>
      <c r="F297" s="24">
        <v>2.7</v>
      </c>
      <c r="G297" s="24">
        <v>2.6</v>
      </c>
      <c r="H297" s="24"/>
      <c r="I297" s="4">
        <f t="shared" si="17"/>
        <v>0</v>
      </c>
      <c r="J297" s="4"/>
      <c r="K297" s="4"/>
      <c r="M297" s="33">
        <f t="shared" si="15"/>
        <v>0</v>
      </c>
      <c r="N297" s="33"/>
      <c r="U297" s="4"/>
      <c r="V297" s="4"/>
      <c r="W297" s="4"/>
      <c r="X297" s="4"/>
    </row>
    <row r="298" spans="1:24" ht="24.75" customHeight="1">
      <c r="A298" s="83">
        <v>123</v>
      </c>
      <c r="B298" s="94"/>
      <c r="C298" s="16" t="s">
        <v>118</v>
      </c>
      <c r="D298" s="14" t="s">
        <v>122</v>
      </c>
      <c r="E298" s="24">
        <f t="shared" si="16"/>
        <v>101.7</v>
      </c>
      <c r="F298" s="24">
        <v>101.7</v>
      </c>
      <c r="G298" s="24">
        <v>73.8</v>
      </c>
      <c r="H298" s="24"/>
      <c r="I298" s="4">
        <f t="shared" si="17"/>
        <v>2.1</v>
      </c>
      <c r="J298" s="4">
        <f>1.9+0.2</f>
        <v>2.1</v>
      </c>
      <c r="K298" s="4">
        <v>1.9</v>
      </c>
      <c r="M298" s="33">
        <f t="shared" si="15"/>
        <v>0</v>
      </c>
      <c r="N298" s="33"/>
      <c r="U298" s="4"/>
      <c r="V298" s="4"/>
      <c r="W298" s="4"/>
      <c r="X298" s="4"/>
    </row>
    <row r="299" spans="1:24" ht="15" customHeight="1">
      <c r="A299" s="84"/>
      <c r="B299" s="94"/>
      <c r="C299" s="49" t="s">
        <v>189</v>
      </c>
      <c r="D299" s="14" t="s">
        <v>33</v>
      </c>
      <c r="E299" s="24">
        <f>+F299+H299</f>
        <v>2.7</v>
      </c>
      <c r="F299" s="24">
        <v>2.7</v>
      </c>
      <c r="G299" s="24">
        <v>2.6</v>
      </c>
      <c r="H299" s="24"/>
      <c r="I299" s="4">
        <f t="shared" si="17"/>
        <v>0</v>
      </c>
      <c r="J299" s="4"/>
      <c r="K299" s="4"/>
      <c r="M299" s="33">
        <f t="shared" si="15"/>
        <v>0</v>
      </c>
      <c r="N299" s="33"/>
      <c r="U299" s="4"/>
      <c r="V299" s="4"/>
      <c r="W299" s="4"/>
      <c r="X299" s="4"/>
    </row>
    <row r="300" spans="1:24" ht="24.75" customHeight="1">
      <c r="A300" s="83">
        <v>124</v>
      </c>
      <c r="B300" s="94"/>
      <c r="C300" s="16" t="s">
        <v>12</v>
      </c>
      <c r="D300" s="14" t="s">
        <v>122</v>
      </c>
      <c r="E300" s="24">
        <f t="shared" si="16"/>
        <v>86.5</v>
      </c>
      <c r="F300" s="24">
        <v>86.5</v>
      </c>
      <c r="G300" s="24">
        <v>69.6</v>
      </c>
      <c r="H300" s="24"/>
      <c r="I300" s="4">
        <f t="shared" si="17"/>
        <v>5.4</v>
      </c>
      <c r="J300" s="4">
        <v>3.9</v>
      </c>
      <c r="K300" s="4">
        <v>-0.4</v>
      </c>
      <c r="L300" s="2">
        <v>1.5</v>
      </c>
      <c r="M300" s="33">
        <f t="shared" si="15"/>
        <v>0</v>
      </c>
      <c r="N300" s="33"/>
      <c r="U300" s="4"/>
      <c r="V300" s="4"/>
      <c r="W300" s="4"/>
      <c r="X300" s="4"/>
    </row>
    <row r="301" spans="1:24" ht="12" customHeight="1">
      <c r="A301" s="84"/>
      <c r="B301" s="94"/>
      <c r="C301" s="49" t="s">
        <v>189</v>
      </c>
      <c r="D301" s="14" t="s">
        <v>33</v>
      </c>
      <c r="E301" s="24">
        <f t="shared" si="16"/>
        <v>2.7</v>
      </c>
      <c r="F301" s="24">
        <v>2.7</v>
      </c>
      <c r="G301" s="24">
        <v>2.6</v>
      </c>
      <c r="H301" s="24"/>
      <c r="I301" s="4">
        <f t="shared" si="17"/>
        <v>0</v>
      </c>
      <c r="J301" s="4"/>
      <c r="K301" s="4"/>
      <c r="M301" s="33">
        <f t="shared" si="15"/>
        <v>0</v>
      </c>
      <c r="N301" s="33"/>
      <c r="U301" s="4"/>
      <c r="V301" s="4"/>
      <c r="W301" s="4"/>
      <c r="X301" s="4"/>
    </row>
    <row r="302" spans="1:24" ht="24.75" customHeight="1">
      <c r="A302" s="83">
        <v>125</v>
      </c>
      <c r="B302" s="94"/>
      <c r="C302" s="16" t="s">
        <v>13</v>
      </c>
      <c r="D302" s="14" t="s">
        <v>122</v>
      </c>
      <c r="E302" s="24">
        <f t="shared" si="16"/>
        <v>126.6</v>
      </c>
      <c r="F302" s="24">
        <v>126.6</v>
      </c>
      <c r="G302" s="24">
        <v>89.8</v>
      </c>
      <c r="H302" s="24"/>
      <c r="I302" s="4">
        <f t="shared" si="17"/>
        <v>12.9</v>
      </c>
      <c r="J302" s="4">
        <f>10.3+2.6</f>
        <v>12.9</v>
      </c>
      <c r="K302" s="4">
        <v>9.2</v>
      </c>
      <c r="M302" s="33">
        <f t="shared" si="15"/>
        <v>0</v>
      </c>
      <c r="N302" s="33"/>
      <c r="U302" s="4"/>
      <c r="V302" s="4"/>
      <c r="W302" s="4"/>
      <c r="X302" s="4"/>
    </row>
    <row r="303" spans="1:24" ht="17.25" customHeight="1">
      <c r="A303" s="84"/>
      <c r="B303" s="94"/>
      <c r="C303" s="49" t="s">
        <v>189</v>
      </c>
      <c r="D303" s="14" t="s">
        <v>33</v>
      </c>
      <c r="E303" s="24">
        <f>+F303+H303</f>
        <v>2.7</v>
      </c>
      <c r="F303" s="24">
        <v>2.7</v>
      </c>
      <c r="G303" s="24">
        <v>2.6</v>
      </c>
      <c r="H303" s="24"/>
      <c r="I303" s="4">
        <f t="shared" si="17"/>
        <v>0</v>
      </c>
      <c r="J303" s="4"/>
      <c r="K303" s="4"/>
      <c r="M303" s="33">
        <f t="shared" si="15"/>
        <v>0</v>
      </c>
      <c r="N303" s="33"/>
      <c r="U303" s="4"/>
      <c r="V303" s="4"/>
      <c r="W303" s="4"/>
      <c r="X303" s="4"/>
    </row>
    <row r="304" spans="1:24" ht="19.5" customHeight="1">
      <c r="A304" s="12">
        <v>126</v>
      </c>
      <c r="B304" s="1"/>
      <c r="C304" s="46" t="s">
        <v>21</v>
      </c>
      <c r="D304" s="1"/>
      <c r="E304" s="60">
        <f>+F304+H304</f>
        <v>35380</v>
      </c>
      <c r="F304" s="60">
        <f>+F12+F65+F87+F123+F147+F171+F192+F238+F260+F264+F268</f>
        <v>30708.6</v>
      </c>
      <c r="G304" s="60">
        <f>+G12+G65+G87+G123+G147+G171+G192+G238+G260+G264+G268</f>
        <v>15975.400000000001</v>
      </c>
      <c r="H304" s="60">
        <f>+H12+H65+H87+H123+H147+H171+H192+H238+H260+H264+H268</f>
        <v>4671.399999999999</v>
      </c>
      <c r="I304" s="4">
        <f>SUM(I12:I303)</f>
        <v>476.20000000000005</v>
      </c>
      <c r="J304" s="4">
        <f>SUM(J12:J303)</f>
        <v>222.99999999999997</v>
      </c>
      <c r="K304" s="4">
        <f>SUM(K12:K303)</f>
        <v>19.999999999999993</v>
      </c>
      <c r="L304" s="4">
        <f>SUM(L12:L303)</f>
        <v>253.20000000000002</v>
      </c>
      <c r="M304" s="33">
        <f>SUM(M12:M303)</f>
        <v>0</v>
      </c>
      <c r="N304" s="33">
        <f aca="true" t="shared" si="18" ref="N304:T304">SUM(N12:N303)</f>
        <v>0</v>
      </c>
      <c r="O304" s="33">
        <f t="shared" si="18"/>
        <v>0</v>
      </c>
      <c r="P304" s="33">
        <f t="shared" si="18"/>
        <v>0</v>
      </c>
      <c r="Q304" s="33">
        <f t="shared" si="18"/>
        <v>0</v>
      </c>
      <c r="R304" s="33">
        <f t="shared" si="18"/>
        <v>0</v>
      </c>
      <c r="S304" s="33">
        <f t="shared" si="18"/>
        <v>0</v>
      </c>
      <c r="T304" s="33">
        <f t="shared" si="18"/>
        <v>0</v>
      </c>
      <c r="U304" s="4"/>
      <c r="V304" s="4"/>
      <c r="W304" s="4"/>
      <c r="X304" s="4"/>
    </row>
    <row r="305" spans="3:9" ht="12.75">
      <c r="C305" s="3" t="s">
        <v>108</v>
      </c>
      <c r="E305" s="25"/>
      <c r="F305" s="25"/>
      <c r="G305" s="25"/>
      <c r="H305" s="25"/>
      <c r="I305" s="4"/>
    </row>
    <row r="306" spans="5:9" ht="12.75">
      <c r="E306" s="47"/>
      <c r="F306" s="47"/>
      <c r="G306" s="47"/>
      <c r="H306" s="47"/>
      <c r="I306" s="4"/>
    </row>
    <row r="307" spans="5:8" ht="12.75" hidden="1">
      <c r="E307" s="43">
        <f>+F307+H307</f>
        <v>32807.6</v>
      </c>
      <c r="F307" s="43">
        <v>28866.7</v>
      </c>
      <c r="G307" s="3">
        <v>14988.5</v>
      </c>
      <c r="H307" s="3">
        <v>3940.9</v>
      </c>
    </row>
    <row r="308" spans="3:8" ht="12.75" hidden="1">
      <c r="C308" s="3" t="s">
        <v>312</v>
      </c>
      <c r="E308" s="43">
        <f>+F308+H308</f>
        <v>2572.3999999999965</v>
      </c>
      <c r="F308" s="43">
        <f>+F304-F307</f>
        <v>1841.8999999999978</v>
      </c>
      <c r="G308" s="43">
        <f>+G304-G307</f>
        <v>986.9000000000015</v>
      </c>
      <c r="H308" s="43">
        <f>+H304-H307</f>
        <v>730.4999999999986</v>
      </c>
    </row>
    <row r="309" spans="3:6" ht="12.75" hidden="1">
      <c r="C309" s="3" t="s">
        <v>313</v>
      </c>
      <c r="F309" s="43"/>
    </row>
    <row r="310" ht="12.75" hidden="1">
      <c r="C310" s="3" t="s">
        <v>314</v>
      </c>
    </row>
    <row r="311" ht="12.75" hidden="1">
      <c r="C311" s="3" t="s">
        <v>315</v>
      </c>
    </row>
    <row r="312" ht="12.75" hidden="1">
      <c r="C312" s="3" t="s">
        <v>316</v>
      </c>
    </row>
    <row r="313" spans="3:8" ht="12.75" hidden="1">
      <c r="C313" s="5"/>
      <c r="E313" s="3">
        <f>+F313+H313</f>
        <v>35380</v>
      </c>
      <c r="F313" s="3">
        <v>30687.8</v>
      </c>
      <c r="G313" s="47">
        <v>15975.4</v>
      </c>
      <c r="H313" s="3">
        <v>4692.2</v>
      </c>
    </row>
    <row r="314" spans="3:8" ht="12.75" hidden="1">
      <c r="C314" s="5"/>
      <c r="E314" s="25">
        <f>+F314+H314</f>
        <v>-1.8189894035458565E-12</v>
      </c>
      <c r="F314" s="43">
        <f>+F304-F313</f>
        <v>20.799999999999272</v>
      </c>
      <c r="G314" s="43">
        <f>+G304-G313</f>
        <v>0</v>
      </c>
      <c r="H314" s="43">
        <f>+H304-H313</f>
        <v>-20.80000000000109</v>
      </c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4" ht="12.75">
      <c r="E324" s="25"/>
    </row>
    <row r="325" spans="5:7" ht="12.75">
      <c r="E325" s="25"/>
      <c r="G325" s="25"/>
    </row>
    <row r="326" ht="12.75">
      <c r="E326" s="25"/>
    </row>
  </sheetData>
  <sheetProtection/>
  <mergeCells count="61">
    <mergeCell ref="A302:A303"/>
    <mergeCell ref="B302:B303"/>
    <mergeCell ref="A172:A173"/>
    <mergeCell ref="B172:B173"/>
    <mergeCell ref="A298:A299"/>
    <mergeCell ref="B298:B299"/>
    <mergeCell ref="A300:A301"/>
    <mergeCell ref="B300:B301"/>
    <mergeCell ref="B292:B293"/>
    <mergeCell ref="A294:A295"/>
    <mergeCell ref="B294:B295"/>
    <mergeCell ref="A282:A283"/>
    <mergeCell ref="B282:B283"/>
    <mergeCell ref="A290:A291"/>
    <mergeCell ref="A296:A297"/>
    <mergeCell ref="B296:B297"/>
    <mergeCell ref="A284:A285"/>
    <mergeCell ref="B284:B285"/>
    <mergeCell ref="A286:A287"/>
    <mergeCell ref="B286:B287"/>
    <mergeCell ref="A288:A289"/>
    <mergeCell ref="B288:B289"/>
    <mergeCell ref="B290:B291"/>
    <mergeCell ref="A292:A293"/>
    <mergeCell ref="A88:A90"/>
    <mergeCell ref="B88:B90"/>
    <mergeCell ref="A155:A156"/>
    <mergeCell ref="B155:B156"/>
    <mergeCell ref="A126:A131"/>
    <mergeCell ref="B126:B131"/>
    <mergeCell ref="D126:D131"/>
    <mergeCell ref="A43:A44"/>
    <mergeCell ref="B43:B44"/>
    <mergeCell ref="D43:D44"/>
    <mergeCell ref="A66:A67"/>
    <mergeCell ref="B66:B67"/>
    <mergeCell ref="A39:A40"/>
    <mergeCell ref="B39:B40"/>
    <mergeCell ref="D39:D40"/>
    <mergeCell ref="A41:A42"/>
    <mergeCell ref="B41:B42"/>
    <mergeCell ref="D41:D42"/>
    <mergeCell ref="A37:A38"/>
    <mergeCell ref="B37:B38"/>
    <mergeCell ref="D37:D38"/>
    <mergeCell ref="E4:H4"/>
    <mergeCell ref="A6:H6"/>
    <mergeCell ref="G7:H7"/>
    <mergeCell ref="A8:A10"/>
    <mergeCell ref="B8:B10"/>
    <mergeCell ref="F9:G9"/>
    <mergeCell ref="D155:D156"/>
    <mergeCell ref="C3:H3"/>
    <mergeCell ref="C1:H1"/>
    <mergeCell ref="C2:H2"/>
    <mergeCell ref="C8:C10"/>
    <mergeCell ref="D8:D10"/>
    <mergeCell ref="E8:E10"/>
    <mergeCell ref="F8:H8"/>
    <mergeCell ref="H9:H10"/>
    <mergeCell ref="D88:D90"/>
  </mergeCells>
  <printOptions/>
  <pageMargins left="0.11811023622047245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V.Sirvaitiene</dc:creator>
  <cp:keywords/>
  <dc:description/>
  <cp:lastModifiedBy>PC</cp:lastModifiedBy>
  <cp:lastPrinted>2020-03-23T15:07:52Z</cp:lastPrinted>
  <dcterms:created xsi:type="dcterms:W3CDTF">1996-10-14T23:33:28Z</dcterms:created>
  <dcterms:modified xsi:type="dcterms:W3CDTF">2020-03-27T10:54:36Z</dcterms:modified>
  <cp:category/>
  <cp:version/>
  <cp:contentType/>
  <cp:contentStatus/>
</cp:coreProperties>
</file>