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tabRatio="897" activeTab="0"/>
  </bookViews>
  <sheets>
    <sheet name="1 pr" sheetId="1" r:id="rId1"/>
    <sheet name="2 pr" sheetId="2" r:id="rId2"/>
    <sheet name="3 pr" sheetId="3" r:id="rId3"/>
    <sheet name="4 pr" sheetId="4" r:id="rId4"/>
    <sheet name="5 pr" sheetId="5" r:id="rId5"/>
    <sheet name="6 pr" sheetId="6" r:id="rId6"/>
    <sheet name="7 pr" sheetId="7" r:id="rId7"/>
    <sheet name="8 pr" sheetId="8" r:id="rId8"/>
    <sheet name="9 pr" sheetId="9" r:id="rId9"/>
    <sheet name="10 pr" sheetId="10" r:id="rId10"/>
    <sheet name="11 pr" sheetId="11" r:id="rId11"/>
  </sheets>
  <definedNames>
    <definedName name="_xlnm.Print_Area" localSheetId="0">'1 pr'!$A$1:$L$428</definedName>
    <definedName name="_xlnm.Print_Area" localSheetId="9">'10 pr'!$A$1:$L$32</definedName>
    <definedName name="_xlnm.Print_Area" localSheetId="10">'11 pr'!$A$1:$L$28</definedName>
    <definedName name="_xlnm.Print_Area" localSheetId="1">'2 pr'!$A$1:$L$62</definedName>
    <definedName name="_xlnm.Print_Area" localSheetId="2">'3 pr'!$A$1:$L$62</definedName>
    <definedName name="_xlnm.Print_Area" localSheetId="3">'4 pr'!$A$1:$L$47</definedName>
    <definedName name="_xlnm.Print_Area" localSheetId="4">'5 pr'!$A$1:$L$45</definedName>
    <definedName name="_xlnm.Print_Area" localSheetId="5">'6 pr'!$A$1:$L$120</definedName>
    <definedName name="_xlnm.Print_Area" localSheetId="6">'7 pr'!$A$1:$L$49</definedName>
    <definedName name="_xlnm.Print_Area" localSheetId="7">'8 pr'!$A$1:$L$50</definedName>
    <definedName name="_xlnm.Print_Area" localSheetId="8">'9 pr'!$A$1:$L$120</definedName>
    <definedName name="_xlnm.Print_Titles" localSheetId="0">'1 pr'!$6:$10</definedName>
    <definedName name="_xlnm.Print_Titles" localSheetId="9">'10 pr'!$6:$10</definedName>
    <definedName name="_xlnm.Print_Titles" localSheetId="10">'11 pr'!$10:$10</definedName>
    <definedName name="_xlnm.Print_Titles" localSheetId="1">'2 pr'!$6:$10</definedName>
    <definedName name="_xlnm.Print_Titles" localSheetId="2">'3 pr'!$6:$10</definedName>
    <definedName name="_xlnm.Print_Titles" localSheetId="3">'4 pr'!$10:$10</definedName>
    <definedName name="_xlnm.Print_Titles" localSheetId="4">'5 pr'!$7:$11</definedName>
    <definedName name="_xlnm.Print_Titles" localSheetId="5">'6 pr'!$6:$10</definedName>
    <definedName name="_xlnm.Print_Titles" localSheetId="6">'7 pr'!$6:$11</definedName>
    <definedName name="_xlnm.Print_Titles" localSheetId="7">'8 pr'!$6:$11</definedName>
    <definedName name="_xlnm.Print_Titles" localSheetId="8">'9 pr'!$6:$10</definedName>
  </definedNames>
  <calcPr fullCalcOnLoad="1"/>
</workbook>
</file>

<file path=xl/sharedStrings.xml><?xml version="1.0" encoding="utf-8"?>
<sst xmlns="http://schemas.openxmlformats.org/spreadsheetml/2006/main" count="1954" uniqueCount="666">
  <si>
    <t>Eil. Nr.</t>
  </si>
  <si>
    <t>Kėdainių bendruomenės socialinis centras</t>
  </si>
  <si>
    <t>Dotnuvos slaugos namai</t>
  </si>
  <si>
    <t xml:space="preserve">Kėdainių rajono savivaldybės administracija </t>
  </si>
  <si>
    <t>Kėdainių rajono savivaldybės administracijos Dotnuvos seniūnija</t>
  </si>
  <si>
    <t>Kėdainių rajono savivaldybės administracijos Gudžiūnų seniūnija</t>
  </si>
  <si>
    <t>Kėdainių rajono savivaldybės administracijos Krakių seniūnija</t>
  </si>
  <si>
    <t>Kėdainių rajono savivaldybės administracijos Josvainių seniūnija</t>
  </si>
  <si>
    <t>Kėdainių rajono savivaldybės administracijos Kėdainių miesto seniūnija</t>
  </si>
  <si>
    <t>Kėdainių rajono savivaldybės administracijos Pelėdnagių seniūnija</t>
  </si>
  <si>
    <t>Kėdainių rajono savivaldybės administracijos Pernaravos seniūnija</t>
  </si>
  <si>
    <t>Kėdainių rajono savivaldybės administracijos Šėtos seniūnija</t>
  </si>
  <si>
    <t>Kėdainių rajono savivaldybės administracijos Surviliškio seniūnija</t>
  </si>
  <si>
    <t>Kėdainių rajono savivaldybės administracijos Truskavos seniūnija</t>
  </si>
  <si>
    <t>Kėdainių rajono savivaldybės administracijos Vilainių seniūnija</t>
  </si>
  <si>
    <t>Josvainių socialinis ir ugdymo centras</t>
  </si>
  <si>
    <t>Asignavimų valdytojas</t>
  </si>
  <si>
    <t>Iš viso</t>
  </si>
  <si>
    <t>Iš jų:</t>
  </si>
  <si>
    <t>Šėtos socialinis ir ugdymo  centras</t>
  </si>
  <si>
    <t>Iš viso asignavimų</t>
  </si>
  <si>
    <t>03</t>
  </si>
  <si>
    <t>SOCIALINĖS APSAUGOS PLĖTOJIMAS</t>
  </si>
  <si>
    <t>10.04.01.01</t>
  </si>
  <si>
    <t>10.01.02.02</t>
  </si>
  <si>
    <t>11</t>
  </si>
  <si>
    <t>SAVIVALDYBĖS VALDYMO TOBULINIMAS</t>
  </si>
  <si>
    <t>Kėdainių rajono savivaldybės priešgaisrinė tarnyba</t>
  </si>
  <si>
    <t>03.02.01.01</t>
  </si>
  <si>
    <t>turtui įsigyti</t>
  </si>
  <si>
    <t>iš jų darbo užmokesčiui</t>
  </si>
  <si>
    <t>03.1</t>
  </si>
  <si>
    <t>Socialinėms paslaugoms:
Socialinei globai asmenims su sunkia negalia</t>
  </si>
  <si>
    <t>03.2</t>
  </si>
  <si>
    <t>Socialinėms paslaugoms:
 Socialinei priežiūrai socialinės rizikos šeimoms</t>
  </si>
  <si>
    <t>03.3</t>
  </si>
  <si>
    <t>03.4</t>
  </si>
  <si>
    <t>10.04.01.40</t>
  </si>
  <si>
    <t>09</t>
  </si>
  <si>
    <t xml:space="preserve"> ŽEMĖS ŪKIO PLĖTRA IR MELIORACIJA</t>
  </si>
  <si>
    <t>09.1</t>
  </si>
  <si>
    <t>Žemės ūkio funkcijoms vykdyti</t>
  </si>
  <si>
    <t>09.2</t>
  </si>
  <si>
    <t>04.02.01.01</t>
  </si>
  <si>
    <t>11.1</t>
  </si>
  <si>
    <t>Priešgaisrinių tarnybų organizavimas</t>
  </si>
  <si>
    <t>11.2</t>
  </si>
  <si>
    <t>Gyventojų registro tvarkymas ir duomenų valstybės registrui teikimas</t>
  </si>
  <si>
    <t>01.03.03.02</t>
  </si>
  <si>
    <t>11.3</t>
  </si>
  <si>
    <t>Archyvinių dokumentų tvarkymas</t>
  </si>
  <si>
    <t>11.4</t>
  </si>
  <si>
    <t>Civilinės būklės aktų registravimas</t>
  </si>
  <si>
    <t>11.5</t>
  </si>
  <si>
    <t>Civilinės saugos organizavimas</t>
  </si>
  <si>
    <t>02.02.01.01</t>
  </si>
  <si>
    <t>11.6</t>
  </si>
  <si>
    <t>Valstybinės kalbos vartojimo ir taisyklingumo kontrolė</t>
  </si>
  <si>
    <t>01.06.01.03</t>
  </si>
  <si>
    <t>11.7</t>
  </si>
  <si>
    <t>11.8</t>
  </si>
  <si>
    <t>Mobilizacijos administravimas</t>
  </si>
  <si>
    <t>11.9</t>
  </si>
  <si>
    <t>01.06.01.02</t>
  </si>
  <si>
    <t>11.10</t>
  </si>
  <si>
    <t>Pirminė teisinė pagalba</t>
  </si>
  <si>
    <t>11.11</t>
  </si>
  <si>
    <t>Duomenų teikimas Valstybės suteiktos pagalbos registrui</t>
  </si>
  <si>
    <t>11.12</t>
  </si>
  <si>
    <t>Gyvenamosios vietos deklaravimas</t>
  </si>
  <si>
    <t>11.13</t>
  </si>
  <si>
    <t>Darbo rinkos politikos rengimas ir įgyvendinimas</t>
  </si>
  <si>
    <t>04.01.02.01</t>
  </si>
  <si>
    <t>Valstybinės žemės ir kito valstybinio turto valdymas, naudojimas ir disponavimas juo patikėjimo teise</t>
  </si>
  <si>
    <t>Kėdainių lopšelis-darželis "Varpelis"</t>
  </si>
  <si>
    <t>Kėdainių lopšelis-darželis "Vyturėlis"</t>
  </si>
  <si>
    <t>Kėdainių mokykla-darželis "Vaikystė"</t>
  </si>
  <si>
    <t>Kėdainių "Atžalyno" gimnazija</t>
  </si>
  <si>
    <t>Kėdainių r. Krakių Mikalojaus Katkaus gimnazija</t>
  </si>
  <si>
    <t>Kėdainių r. Dotnuvos pagrindinė mokykla</t>
  </si>
  <si>
    <t>Kėdainių r. Surviliškio Vinco Svirskio pagrindinė mokykla</t>
  </si>
  <si>
    <t>Kėdainių krašto muziejus</t>
  </si>
  <si>
    <t>Kėdainių kultūros centras</t>
  </si>
  <si>
    <t>Krakių kultūros centras</t>
  </si>
  <si>
    <t>Kėdainių rajono Vilainių mokykla-darželis "Obelėlė"</t>
  </si>
  <si>
    <t>Kėdainių šviesioji gimnazija</t>
  </si>
  <si>
    <t>Kėdainių kalbų mokykla</t>
  </si>
  <si>
    <t>Kėdainių muzikos  mokykla</t>
  </si>
  <si>
    <t>Kėdainių specialioji mokykla</t>
  </si>
  <si>
    <t>Akademijos kultūros centras</t>
  </si>
  <si>
    <t>Josvainių kultūros centras</t>
  </si>
  <si>
    <t>Šėtos kultūros centras</t>
  </si>
  <si>
    <t>Truskavos kultūros centras</t>
  </si>
  <si>
    <t>Kėdainių rajono savivaldybės Mikalojaus Daukšos viešoji biblioteka</t>
  </si>
  <si>
    <t>Kėdainių rajono savivaldybės visuomenės sveikatos biuras</t>
  </si>
  <si>
    <t>Kėdainių lopšelis-darželis "Pasaka"</t>
  </si>
  <si>
    <t>Kėdainių lopšelis-darželis "Žilvitis"</t>
  </si>
  <si>
    <t>Kėdainių dailės mokykla</t>
  </si>
  <si>
    <t xml:space="preserve">Šėtos socialinis ir ugdymo centras </t>
  </si>
  <si>
    <t>5 priedas</t>
  </si>
  <si>
    <t>Funkcijos kodas</t>
  </si>
  <si>
    <t>01</t>
  </si>
  <si>
    <t>ŠVIETIMAS IR UGDYMAS</t>
  </si>
  <si>
    <t>09.01.01.01</t>
  </si>
  <si>
    <t>09.01.02.01</t>
  </si>
  <si>
    <t>09.02.02.01</t>
  </si>
  <si>
    <t>09.02.01.01</t>
  </si>
  <si>
    <t>09.05.01.01</t>
  </si>
  <si>
    <t xml:space="preserve">Kėdainių rajono savivaldybės administracija iš viso </t>
  </si>
  <si>
    <t>iš jų :</t>
  </si>
  <si>
    <t>09.08.01.01</t>
  </si>
  <si>
    <t>09.06.01.01</t>
  </si>
  <si>
    <t>02</t>
  </si>
  <si>
    <t>SVEIKATOS APSAUGA</t>
  </si>
  <si>
    <t>07.04.01.02</t>
  </si>
  <si>
    <t>07.01.03.01</t>
  </si>
  <si>
    <t>07.02.03.01</t>
  </si>
  <si>
    <t>07.03.01.01</t>
  </si>
  <si>
    <t>07.06.01.02</t>
  </si>
  <si>
    <t>10.01.02.02
10.07.01.01
10.09.01.01</t>
  </si>
  <si>
    <t>10.02.01.02</t>
  </si>
  <si>
    <t>iš jų:</t>
  </si>
  <si>
    <t>10.07.01.01</t>
  </si>
  <si>
    <t>10.06.01.01</t>
  </si>
  <si>
    <t>09.06.01.01
10.01.02.40
10.02.01.40</t>
  </si>
  <si>
    <t>10.01.02.40</t>
  </si>
  <si>
    <t>04</t>
  </si>
  <si>
    <t>KŪNO KULTŪROS IR SPORTO PLĖTRA</t>
  </si>
  <si>
    <t>08.01.01.03</t>
  </si>
  <si>
    <t>05</t>
  </si>
  <si>
    <t>KULTŪROS VEIKLOS PLĖTRA</t>
  </si>
  <si>
    <t>08.02.01.08</t>
  </si>
  <si>
    <t>08.02.01.01</t>
  </si>
  <si>
    <t>08.02.01.02</t>
  </si>
  <si>
    <t>08.04.01.01</t>
  </si>
  <si>
    <t>07</t>
  </si>
  <si>
    <t>INFRASTRUKTŪROS OBJEKTŲ  PRIEŽIŪRA IR PLĖTRA</t>
  </si>
  <si>
    <t>06.04.01.01</t>
  </si>
  <si>
    <t>04.05.01.02 06.04.01.01</t>
  </si>
  <si>
    <t>06.01.01.01</t>
  </si>
  <si>
    <t>08</t>
  </si>
  <si>
    <t>APLINKOS APSAUGA</t>
  </si>
  <si>
    <t xml:space="preserve">05.01.01.01
06.02.01.01                       </t>
  </si>
  <si>
    <t>05.01.01.01</t>
  </si>
  <si>
    <t xml:space="preserve">05.01.01.01  05.02.01.01
06.03.01.01                       </t>
  </si>
  <si>
    <t xml:space="preserve">05.01.01.01               </t>
  </si>
  <si>
    <t>Rajono komunalinių atliekų tvarkytojui</t>
  </si>
  <si>
    <t>10</t>
  </si>
  <si>
    <t>PARAMA VERSLUI IR VERSLO PLĖTRA</t>
  </si>
  <si>
    <t>04.01.01.01</t>
  </si>
  <si>
    <t>Kėdainių rajono savivaldybės kontrolės ir audito tarnyba</t>
  </si>
  <si>
    <t xml:space="preserve">Kėdainių rajono savivaldybės administracija  </t>
  </si>
  <si>
    <t>03.01.01.01</t>
  </si>
  <si>
    <t>04.05.01.01</t>
  </si>
  <si>
    <t>Palūkanos bankui</t>
  </si>
  <si>
    <t>01.07.01.01</t>
  </si>
  <si>
    <t>išlaidoms</t>
  </si>
  <si>
    <t xml:space="preserve">09.02.01.01   </t>
  </si>
  <si>
    <t>06.02.01.01</t>
  </si>
  <si>
    <t xml:space="preserve">                                                                 ___________________________________________</t>
  </si>
  <si>
    <t>10.01.02.02 10.07.01.01</t>
  </si>
  <si>
    <t xml:space="preserve">05.01.01.01 </t>
  </si>
  <si>
    <t xml:space="preserve">                                                             ____________________________________</t>
  </si>
  <si>
    <t xml:space="preserve">                                                                    ___________________________________________</t>
  </si>
  <si>
    <t>01.1</t>
  </si>
  <si>
    <t>Specialioji tikslinė dotacija mokinio krepšeliui finansuoti</t>
  </si>
  <si>
    <t xml:space="preserve">     Brandos egzaminams finansuoti</t>
  </si>
  <si>
    <t>Šėtos socialinis ir ugdymo centras</t>
  </si>
  <si>
    <t>01.2</t>
  </si>
  <si>
    <t xml:space="preserve">10.02.01.02 </t>
  </si>
  <si>
    <t>Kėdainių švietimo pagalbos tarnyba</t>
  </si>
  <si>
    <t>09.05.01.03</t>
  </si>
  <si>
    <t>Kėdainių švietimo pagalbos tarnyba iš viso:</t>
  </si>
  <si>
    <t xml:space="preserve">     Kėdainių švietimo pagalbos tarnyba (pedagoginė - psichologinė tarnyba)</t>
  </si>
  <si>
    <t>Vaikų teisių apsauga</t>
  </si>
  <si>
    <t>Jaunimo teisių apsauga</t>
  </si>
  <si>
    <t>11.14</t>
  </si>
  <si>
    <t>06</t>
  </si>
  <si>
    <t>KULTŪROS PAVELDO IŠSAUGOJIMAS, TURIZMO SKATINIMAS IR VYSTYMAS</t>
  </si>
  <si>
    <t>04.07.03.01</t>
  </si>
  <si>
    <t>10.01.02.01</t>
  </si>
  <si>
    <t>Kėdainių lopšelis-darželis "Aviliukas"</t>
  </si>
  <si>
    <t>Išlaidoms už įsigytus produktus, mokinio reikmenis ir socialinei paramai mokiniams administruoti</t>
  </si>
  <si>
    <t>Specialioji tikslinė dotacija mokyklos specialiųjų ugdymosi poreikių turintiems mokiniams</t>
  </si>
  <si>
    <t xml:space="preserve">                                                               ___________________________________________</t>
  </si>
  <si>
    <t>Mokinių visuomenės sveikatos priežiūrai</t>
  </si>
  <si>
    <t>Visuomenės sveikatos stiprinimui ir stebėsenai</t>
  </si>
  <si>
    <t>09.02.01.01
09.02.02.01 
09.05.01.01</t>
  </si>
  <si>
    <t>07.06.01.09</t>
  </si>
  <si>
    <t>01.01.01.09</t>
  </si>
  <si>
    <t>01.03.02.09</t>
  </si>
  <si>
    <t xml:space="preserve">01.03.02.09  </t>
  </si>
  <si>
    <t>Kėdainių suaugusiųjų ir jaunimo mokymo centras</t>
  </si>
  <si>
    <t>Kėdainių sporto centras</t>
  </si>
  <si>
    <t xml:space="preserve">                                                                                         ___________________________</t>
  </si>
  <si>
    <t xml:space="preserve">                                                                                               ________________________________</t>
  </si>
  <si>
    <t>Būsto nuomos ar išperkamosios būsto nuomos mokesčių dalies kompensacijoms</t>
  </si>
  <si>
    <t xml:space="preserve">10.06.01.01 10.07.01.01
10.09.01.09 </t>
  </si>
  <si>
    <t>iš jų: darbo rinkos politikos rengimas ir įgyvendinimas</t>
  </si>
  <si>
    <t>03.5</t>
  </si>
  <si>
    <t>3 priedas</t>
  </si>
  <si>
    <t>4 priedas</t>
  </si>
  <si>
    <t>Kėdainių rajono savivaldybės administracija iš viso:</t>
  </si>
  <si>
    <t>Techninės - sąmatinės dokumentacijos sudarymas, jos ekspertizė, darbų techninė priežiūra</t>
  </si>
  <si>
    <t>10.06.01.40</t>
  </si>
  <si>
    <t>08.02.01.07</t>
  </si>
  <si>
    <t>05.02.01.01</t>
  </si>
  <si>
    <t>04.05.01.02</t>
  </si>
  <si>
    <t>Kėdainių rajono savivaldybės administracijos Šėtos   seniūnija</t>
  </si>
  <si>
    <t>I. SAVARANKIŠKOMS FUNKCIJOMS ATLIKTI</t>
  </si>
  <si>
    <t>II. ĮSTAIGŲ GAUTOMS PAJAMOMS</t>
  </si>
  <si>
    <t xml:space="preserve"> UŽ PATALPŲ NUOMĄ</t>
  </si>
  <si>
    <t xml:space="preserve"> UŽ ATSITIKTINES PASLAUGAS</t>
  </si>
  <si>
    <t xml:space="preserve"> UŽ IŠLAIKYMĄ ŠVIETIMO, SOCIALINĖS APSAUGOS IR KITOSE ĮSTAIGOS</t>
  </si>
  <si>
    <t>Socialinių išmokų ir kompensacijų skaičiavimas ir mokėjimas</t>
  </si>
  <si>
    <t xml:space="preserve">10.03.01.01
10.07.01.01
10.09.01.09 
</t>
  </si>
  <si>
    <t xml:space="preserve"> iš jų:</t>
  </si>
  <si>
    <t>09.01.01.01
09.05.01.01</t>
  </si>
  <si>
    <t>09.02.02.01
09.05.01.01</t>
  </si>
  <si>
    <t>01.03.02.09
04.01.02.01</t>
  </si>
  <si>
    <t xml:space="preserve">     Kėdainių rajono Akademijos gimnazijos priestato Kėdainių r., Akademijos mst., Jaunimo g. 2, statybai</t>
  </si>
  <si>
    <t xml:space="preserve">     Kėdainių rajono savivaldybės pastato, esančio Didžiosios Rinkos a. 4, Kėdainiuose, rekonstravimui, įrengiant Mikalojaus Daukšos viešosios bibliotekos vaikų ir jaunimo skyrių</t>
  </si>
  <si>
    <t>Lietuvos sporto universiteto Kėdainių "Aušros" progimnazija</t>
  </si>
  <si>
    <t>Kėdainių Juozo Paukštelio progimnazija</t>
  </si>
  <si>
    <t>Kėdainių "Ryto" progimnazija</t>
  </si>
  <si>
    <t xml:space="preserve">     VšĮ Mažylių akademijai</t>
  </si>
  <si>
    <t>02.01.01.04</t>
  </si>
  <si>
    <t>04.02.01.04</t>
  </si>
  <si>
    <t>Melioracijos statinių remonto darbai gyvenvietėse</t>
  </si>
  <si>
    <t>Melioruotos žemės ir melioracijos statinių apskaitos duomenų rinkinių tvarkymas</t>
  </si>
  <si>
    <t>01.06.01.04</t>
  </si>
  <si>
    <t>Atnaujinti Lietuvos sporto universiteto Kėdainių  „Aušros“ progimnaziją</t>
  </si>
  <si>
    <t>Atnaujinti ikimokyklinio ugdymo įstaigų lauko inventorių</t>
  </si>
  <si>
    <t>Šalinti higienos normų reikalavimų trūkumus, sudarant saugias ugdymo sąlygas įstaigose, vykdančiose ugdymo programas</t>
  </si>
  <si>
    <t xml:space="preserve">Integruoti slaugos ir palaikomojo gydymo ligoninę  į VšĮ Kėdainių ligoninę, įkurti antrą 40 lovų slaugos ir palaikomojo gydymo skyrių, pertvarkant traumatologijos ir psichiatrijos skyrius </t>
  </si>
  <si>
    <t>Pritaikyti viešąją aplinką neįgaliųjų poreikiams</t>
  </si>
  <si>
    <t>Įgyvendinti programą, skirtą Lietuvos Nepriklausomybės ir Lietuvos kariuomenės 100-osioms metinėms</t>
  </si>
  <si>
    <t xml:space="preserve">Įrengti informacines lenteles ir prie neveikiančių ir veikiančių rajono kapinių,  atnaujinti užrašus ant paminklų </t>
  </si>
  <si>
    <t xml:space="preserve">Atlikti turto inventorizavimą, teisinę registraciją, parengti  dokumentus turto privatizavimui </t>
  </si>
  <si>
    <t>Parengti Kėdainių miesto paviršinių (lietaus) nuotekų tvarkymo infrastruktūros plėtros specialųjį planą</t>
  </si>
  <si>
    <t>Parengti Kėdainių miesto darnaus judumo planą</t>
  </si>
  <si>
    <t>Remontuoti objektus pagal administracijos direktoriaus įsakymus</t>
  </si>
  <si>
    <t>Likviduoti avarinius židinius</t>
  </si>
  <si>
    <t>Modernizuoti Kėdainių miesto J.Basanavičiaus g. apšvietimą</t>
  </si>
  <si>
    <t>Remontuoti biudžetinių įstaigų kiemus</t>
  </si>
  <si>
    <t>Remontuoti viešųjų ir biudžetinių įstaigų stogus</t>
  </si>
  <si>
    <t>Aplinkos apsaugos rėmimo specialiajai programai (pridedama 12 priedas)</t>
  </si>
  <si>
    <t xml:space="preserve">     Kėdainių r. sav. Slaugos ir palaikomojo gydymo ligoninės Budrio g. 5, Kėdainiuose integracija į viešąją įstaigą Kėdainių ligoninę, antro 40 lovų slaugos ir palaikomojo gydymo skyriaus įkūrimas pertvarkant traumatologijos ir psichiatrijos skyrius</t>
  </si>
  <si>
    <t>Dalyvauti tyrime  "Sveikatos ir olimpinio ugdymo programos poveikis mokinių sveikatai ir gyvensenai"</t>
  </si>
  <si>
    <t>08.06.01.01</t>
  </si>
  <si>
    <t>09.01.01.01  09.01.02.01 09.02.01.01
09.02.02.01 10.02.01.02</t>
  </si>
  <si>
    <t xml:space="preserve">Užtikrinti socialinio būsto fondo plėtrą Kėdainiuose  </t>
  </si>
  <si>
    <t>Rengti specialiuosius, detaliuosius, geodezinius planus bei  topografines nuotraukas</t>
  </si>
  <si>
    <t>07.06.01.06</t>
  </si>
  <si>
    <t>04.09.01.01</t>
  </si>
  <si>
    <t>08.02.01.01
08.02.01.08</t>
  </si>
  <si>
    <t>(tūkst. Eur)</t>
  </si>
  <si>
    <t>18</t>
  </si>
  <si>
    <t>19</t>
  </si>
  <si>
    <t>20</t>
  </si>
  <si>
    <t>01.01.01.02
01.01.01.09
01.03.02.09
01.06.01.02
04.05.06.09 06.06.01.01
06.06.01.09</t>
  </si>
  <si>
    <t>05.03.01.01</t>
  </si>
  <si>
    <t>08.06.01.09</t>
  </si>
  <si>
    <t xml:space="preserve">     Kėdainių miesto Didžiosios Rinkos aikštei rekonstruoti</t>
  </si>
  <si>
    <t>04.01.02.09</t>
  </si>
  <si>
    <t xml:space="preserve">Rekonstruoti Šėtos mstl. Kėdainių, Kauno, Ukmergės, Turgaus, Lakštingalų, Linksmavietės, Obelies, Kapų, Pagirių, Čeponiškių gatvių apšvietimą </t>
  </si>
  <si>
    <t xml:space="preserve">Kėdainių švietimo pagalbos tarnyba </t>
  </si>
  <si>
    <t>Kėdainių r. Akademijos gimnazija</t>
  </si>
  <si>
    <t>Kėdainių r. Josvainių gimnazija</t>
  </si>
  <si>
    <t>Kėdainių r. Šėtos gimnazija</t>
  </si>
  <si>
    <t>Kėdainių r. Labūnavos pagrindinė mokykla</t>
  </si>
  <si>
    <t>Kėdainių r. Miegenų pagrindinė mokykla</t>
  </si>
  <si>
    <t>Kėdainių r. Truskavos pagrindinė mokykla</t>
  </si>
  <si>
    <t>Kėdainių r. Šėtos  gimnazija</t>
  </si>
  <si>
    <t>Rekonstruoti Krakių mstl. Laisvės aikštę</t>
  </si>
  <si>
    <t xml:space="preserve"> 2017 METŲ ASIGNAVIMAI ĮSTAIGOMS IŠ PAJAMŲ, GAUTŲ UŽ PATALPŲ NUOMĄ</t>
  </si>
  <si>
    <t xml:space="preserve"> 2017 METŲ ASIGNAVIMAI ĮSTAIGOMS IŠ PAJAMŲ, GAUTŲ UŽ ATSITIKTINES PASLAUGAS </t>
  </si>
  <si>
    <t>2017 METŲ VALSTYBĖS BIUDŽETO SPECIALIOSIOS TIKSLINĖS DOTACIJOS SAVIVALDYBĖS BIUDŽETUI VALSTYBINĖMS (VALSTYBĖS PERDUOTOMS SAVIVALDYBEI) FUNKCIJOMS ATLIKTI ASIGNAVIMAI</t>
  </si>
  <si>
    <t>Neveiksnių asmenų būklės peržiūrėjimui</t>
  </si>
  <si>
    <t xml:space="preserve">Avarinių valstybei nuosavybės teise priklausančių melioracijos statinių gedimų remonto darbai </t>
  </si>
  <si>
    <t>Melioracijos griovių ir jų statinių priežiūros ir remonto darbai</t>
  </si>
  <si>
    <t>Tvenkinių, pylimų ir kitų hidrotechninių statinių remonto ir priežiūros darbai</t>
  </si>
  <si>
    <t>Polderių remonto ir priežiūros darbai</t>
  </si>
  <si>
    <t>Kėdainių rajono savivaldybės 2017 m. valstybei nuosavybės teise priklausančių melioracijos statinių priežiūrai ir remonto darbams įskaitant priešprojektinius tyrinėjimus, techninės sąmatinės dokumentacijos sudarymą, ekspertizę, darbų techninę priežiūrą bei kitus susijusius darbus</t>
  </si>
  <si>
    <t>10.06.01.01 10.07.01.01
10.09.01.09</t>
  </si>
  <si>
    <t>10.09.01.09</t>
  </si>
  <si>
    <t>III EUROPOS SĄJUNGOS LĖŠOS</t>
  </si>
  <si>
    <t xml:space="preserve">KĖDAINIŲ RAJONO SAVIVALDYBĖS  2017 METŲ BIUDŽETO ASIGNAVIMAI  PROJEKTAMS FINANSUOTI EUROPOS SĄJUNGOS LĖŠOMIS </t>
  </si>
  <si>
    <t>KĖDAINIŲ RAJONO SAVIVALDYBĖS 2017 METŲ BIUDŽETO ASIGNAVIMAI  SAVARANKIŠKOMS FUNKCIJOMS ATLIKTI</t>
  </si>
  <si>
    <t>2017 METŲ ASIGNAVIMAI ĮSTAIGOMS IŠ PAJAMŲ, GAUTŲ UŽ IŠLAIKYMĄ ŠVIETIMO, SOCIALINĖS APSAUGOS IR KITOSE ĮSTAIGOSE</t>
  </si>
  <si>
    <t xml:space="preserve">09.08.01.09    </t>
  </si>
  <si>
    <t>Vykdyti vaikų otorinolaringologinės pagalbos kokybės gerinimo Kėdainių rajono savivaldybės gyventojams 2017 m. programą</t>
  </si>
  <si>
    <t>Vykdyti krūties vėžio prevencijos efektyvumo didinimo Kėdainių rajono savivaldybėje 2017 m. programą</t>
  </si>
  <si>
    <t>Vykdyti storosios žarnos vėžio ankstyvosios diagnostikos efektyvumo didinimo Kėdainių rajono savivaldybėje 2017 m. programą</t>
  </si>
  <si>
    <t>Parengti studiją, įvertinant Kėdainių rajono gyventojų sergamumo ir mirtingumo priežastis dėl onkologinių, širdies ir kraujagyslių  ligų</t>
  </si>
  <si>
    <t xml:space="preserve">Vykdyti Kėdainių rajono tuberkuliozės prevencijos, ankstyvosios diagnostikos, gydymo ir kontrolės 2017 m. programą </t>
  </si>
  <si>
    <t>Vykdyti pirminės asmens sveikatos priežiūros paslaugų prieinamumo ir kokybės užtikrinimo Kėdainių rajono kaimiškųjų vietovių gyventojams 2017 m. programą</t>
  </si>
  <si>
    <t>Vykdyti Ultragarsinių diagnostinių paslaugų teikimo efektyvumo gerinimo Kėdainių rajono savivaldybėje 2017 m. programą</t>
  </si>
  <si>
    <t>Remontuoti Šėtos gimnazijos vidaus patalpas</t>
  </si>
  <si>
    <t>Remontuoti Kėdainių Juozo Paukštelio progimnazijos vidaus patalpas</t>
  </si>
  <si>
    <t>Pakeisti langus bei remontuoti Kėdainių specialiąją mokyklą</t>
  </si>
  <si>
    <t>Remontuoti Surviliškio V.Svirskio pagrindinę mokyklą</t>
  </si>
  <si>
    <t>Užtikrinti Kėdainių miesto švietimo įstaigų pastatų ir teritorijų apsaugą</t>
  </si>
  <si>
    <t>Rekonstruoti VšĮ Kėdainių ligoninės laboratorinio-stomatologinio korpusą</t>
  </si>
  <si>
    <t>Remontuoti VšĮ Kėdainių PSPC Greitosios medicinos pagalbos skyriaus pastatą ir garažus</t>
  </si>
  <si>
    <t>Remontuoti Tiskūnų medicinos punktą</t>
  </si>
  <si>
    <t>Keisti savivaldybės ir socialinio būsto langus</t>
  </si>
  <si>
    <t>Remontuoti savivaldybės ir socialinį būstą</t>
  </si>
  <si>
    <t>Atnaujinti (remontuoti) daugiabučių namų bendrojo naudojimo objektus</t>
  </si>
  <si>
    <t>Kėdainių rajono savivaldybės 2017 m. biudžeto asignavimai investicijų projektams ir remonto darbams finansuoti pagal objektus:</t>
  </si>
  <si>
    <t>Finansuoti Kėdainių miesto vietos plėtros 2014-2020 m.strategijos parengimą ir įgyvendinimą</t>
  </si>
  <si>
    <t>Rekonstruoti Kėdainių kultūros centrą</t>
  </si>
  <si>
    <t>Įgyvendinti projektą "Tradicinio Amatų centro Arnetų name plėtra"</t>
  </si>
  <si>
    <t>Įgyvendinti projektą "Jonavos, Kėdainių ir Raseinių rajonų savivaldybes jungiančių trasų ir turizmo maršrutų informacinės infrastruktūros plėtra"</t>
  </si>
  <si>
    <t>Dalyvauti projekte "Kunigaikščių Radvilų paveldo Kėdainiuose ir Nesvyžiuje išsaugojimas bei pritaikymas turizmo reikmėms"</t>
  </si>
  <si>
    <t>Parengti projektus ir remontuoti koplytėles ir koplytstulpius (Labūnavos, Šlapaberžės)</t>
  </si>
  <si>
    <t>Apšviesti senamiesčio objektų fasadus</t>
  </si>
  <si>
    <t xml:space="preserve">Atlikti Kalnaberžės dvaro sodybos rūmų (unikalus kodas kultūros vertybių registre 35338) stogo ir fasado tvarkybos darbus (remonto, restauravimo, apsaugos techninių priemonių įrengimas) </t>
  </si>
  <si>
    <t xml:space="preserve">Atlikti archeologiniams tyrinėjimams kultūros paveldo teritorijose </t>
  </si>
  <si>
    <t>Atlikti Apytalaukio dvaro dviejų kumetynų sutvarkymo darbus</t>
  </si>
  <si>
    <t>Kompleksiškai sutvarkyti Kėdainių miesto upių prieigas, sukuriant patrauklias viešąsias erdves bendruomenei ir verslui</t>
  </si>
  <si>
    <t>Kompleksiškai sutvarkyti Kėdainių miesto viešąsias erdves bendruomenei ir verslui</t>
  </si>
  <si>
    <t>Kompleksiškai sutvarkyti Kėdainių miesto maudymvietes ir poilsio zonas</t>
  </si>
  <si>
    <t xml:space="preserve">Įrengti/modernizuoti viešuosius tualetus turistų lankomose vietose </t>
  </si>
  <si>
    <t>Sutvarkyti Babėnų šilą, sudarant sąlygas rekreaciniam poilsiui</t>
  </si>
  <si>
    <t xml:space="preserve">Rengti infrastruktūros objektų tvarkymo investicinius projektus, paraiškas, kitą techninę dokumentaciją  Europos Sąjungos fondų paramai gauti </t>
  </si>
  <si>
    <t>Įrengti, rekonstruoti, išplėsti vandentiekio ir nuotekų tinklus Kėdainių mieste (Minareto g., Kanapinsko g., Algirdo g., Parakinės g., Rūtų, )</t>
  </si>
  <si>
    <t xml:space="preserve">Vandentiekio ir buitinių nuotekų infrastruktūros plėtra Šėtos miestelyje ir Kunionių kaime bei Kėdainių miesto vandentiekio (D100, D400) rekonstrukcija, Kėdainių miesto buitinių nuotekų tinklų (D1000, D800, D600) ir diukerių per Nevėžį ir Smilgą rekonstrukcija         </t>
  </si>
  <si>
    <t>Rekonstruoti ir plėsti Kėdainių miesto paviršinių nuotekų tinklus</t>
  </si>
  <si>
    <t xml:space="preserve">Įrengti ir išplėsti vandentiekio ir buitinių nuotekų tinklus Surviliškio kaime </t>
  </si>
  <si>
    <t>Plėsti vandentiekio ir nuotekų tinklus Šlapaberžės kaime</t>
  </si>
  <si>
    <t>Rekonstruoti apšvietimo tinklus Nociūnų kaime</t>
  </si>
  <si>
    <t>Rekonstruoti apšvietimo tinklus Alksnėnų  kaime</t>
  </si>
  <si>
    <t>Atlikti apšvietimo įrengimo ir išplėtimo  darbus Berželės kaime</t>
  </si>
  <si>
    <t>Rekonstruoti apšvietimo tinklus Antanavos, Antušavos, Jokūbaičių,  Terespolio kaimuose</t>
  </si>
  <si>
    <t xml:space="preserve">Rekonstruoti Šlapaberžės k. Gėlių, Šlapaberžės, Saulėtekio, Miškų, Žaliosios, Linksmosios, Baseino, Naujaberžės gatvių apšvietimą </t>
  </si>
  <si>
    <t xml:space="preserve">Rekonstruoti  miesto gatves ir šaligatvius, įrengti apšvietimą (Kanapinsko g., Lukšio g., Žemaitės g., Mindaugo g., Pavasario g.) </t>
  </si>
  <si>
    <t>Įrengti dalį Šilelio gatvės</t>
  </si>
  <si>
    <t>Sutvarkyti Kėdainių miesto viešąją erdvę prie Budrio gatvės (automobilių stovėjimo aikštelė)</t>
  </si>
  <si>
    <t>Finansuoti inžinerinių tinklų perkėlimo išlaidas, tvarkant miesto bei rajono gatves</t>
  </si>
  <si>
    <t>Remontuoti pėsčiųjų taką nuo J.Basanavičiaus g. link Kėdainių kultūros centros</t>
  </si>
  <si>
    <t>Atlikti Savivaldybės pastato ir jo aplinkos sutvarkymo darbus</t>
  </si>
  <si>
    <t>Atnaujinti seniūnijų administracinius  pastatus</t>
  </si>
  <si>
    <t>Asfaltuoti daugiabučių gyvenamųjų namų kiemus</t>
  </si>
  <si>
    <t xml:space="preserve">Dalyvauti energinio efektyvumo didinimo daugiabučiuose namuose programoje, kompensuojant Savivaldybei priklausančių būstų renovacijos išlaidas </t>
  </si>
  <si>
    <t>Remontuoti autobusų stoteles</t>
  </si>
  <si>
    <t>Likviduoti apleistus (bešeimininkius) pastatus ir kitus aplinką žalojančius objektus</t>
  </si>
  <si>
    <t>Rengti projektus ir remontuoti gyvenviečių lietaus kanalizacijos-drenažų sistemas</t>
  </si>
  <si>
    <t>Įgyvendinti Kėdainių rajono savivaldybės bažnyčių rėmimo programą</t>
  </si>
  <si>
    <t>Vykdyti laparoskopinės ir artroskopinės chirurginės pagalbos kokybės gerinimo Kėdainių rajono savivaldybės gyventojams 2017 m. programą</t>
  </si>
  <si>
    <t>Vykdyti traumatologinės  pagalbos kokybės gerinimo Kėdainių rajono savivaldybės gyventojams 2017 m. programą</t>
  </si>
  <si>
    <t>Vykdyti odontologinės priežiūros/pagalbos kokybės gerinimo Kėdainių rajono savivaldybės gyventojams 2017 m. programą</t>
  </si>
  <si>
    <t>Vykdyti VšĮ Kėdainių ligoninės dantų protezavimo pensininkams ir neįgaliesiems 2017 m. programą</t>
  </si>
  <si>
    <t>Vykdyti VšĮ Kėdainių ligoninės vaikų slaugos 2017 m. programą</t>
  </si>
  <si>
    <t>09.01.01.01 
09.01.02.01
 09.02.01.01
09.02.02.01
09.05.01.01
09.05.01.03</t>
  </si>
  <si>
    <t>07.02.01.01</t>
  </si>
  <si>
    <t>10.01.02.02
10.06.01.01
10.09.01.01 
10.09.01.09</t>
  </si>
  <si>
    <t>08.02.01.06
08.06.01.09</t>
  </si>
  <si>
    <t>08.02.01.06</t>
  </si>
  <si>
    <t>08.04.01.02</t>
  </si>
  <si>
    <t xml:space="preserve">04.07.03.01. </t>
  </si>
  <si>
    <t>04.07.05.01</t>
  </si>
  <si>
    <t>05.02.01.01
06.03.01.01</t>
  </si>
  <si>
    <t>04.05.01.02
06.04.01.01</t>
  </si>
  <si>
    <t>05.06.01.01</t>
  </si>
  <si>
    <t>05.02.01.01.</t>
  </si>
  <si>
    <t>Parengti projektą ir remontuoti sinagogą esančią Paeismilgio 12A</t>
  </si>
  <si>
    <t>Finansuotii vaikų vasaros poilsio ir užimtumo programas</t>
  </si>
  <si>
    <t>Skatinti rajono gabius ir talentingus mokinius</t>
  </si>
  <si>
    <t>Vykdyti  E sveikatos informacinės sistemos diegimo, palaikymo ir tobulinimo VšĮ Kėdainių PSPC ir VšĮ Kėdainių ligoninėje 2017 m. programą</t>
  </si>
  <si>
    <t>vykdyti socialinės paramos 2017 m. programą</t>
  </si>
  <si>
    <t>vykdyti integralios pagalbos į namus Kėdainių rajone 2017 m. programą</t>
  </si>
  <si>
    <t>Organizuoti nemokamą socialiai remtinų vaikų maitinimą ikimokyklinėse įstaigose</t>
  </si>
  <si>
    <t xml:space="preserve">Kompensuoti nemokamo mokinių maitinimo kainą bendrojo lavinimo mokyklose </t>
  </si>
  <si>
    <t xml:space="preserve">Dengti kainų skirtumą gyventojams už šildymą </t>
  </si>
  <si>
    <t>Kompesuoti šalto vandens pardavimo kainą socialiai remtiniems asmenims</t>
  </si>
  <si>
    <t>Kompesuoti karšto vandens pardavimo kainą socialiai remtiniems asmenims</t>
  </si>
  <si>
    <t xml:space="preserve">Kompensuoti kelionės išlaidas už lengvatinį keleivių vežimą </t>
  </si>
  <si>
    <t xml:space="preserve">Užtikrinti paslaugų teikimą VšĮ "Gyvenimo namai  sutrikusio intelekto asmenims"   </t>
  </si>
  <si>
    <t>Organizuoti socialinės reabilitacijos paslaugų neįgaliesiems bendruomenėje projektų konkursus</t>
  </si>
  <si>
    <t>Finansuoti prioritetinių sporto šakų projektus/programas</t>
  </si>
  <si>
    <t>Paramos ir labdaros fondo „Krepšinio angelai“ programai</t>
  </si>
  <si>
    <t>VšĮ "Sporto perspektyvos" programai</t>
  </si>
  <si>
    <t>Kėdainių bokso federacijos programai</t>
  </si>
  <si>
    <t>VšĮ "Sporto perspektyvos" vaikų ir jaunimo futbolo plėtros programai</t>
  </si>
  <si>
    <t>Finansuoti kitus kūno kultūros ir sporto veiklos  projektus</t>
  </si>
  <si>
    <t>Finansuoti VšĮ Kėdainių turizmo ir verslo informacijos centro 2017 m. veiklos programą</t>
  </si>
  <si>
    <t>Finansuoti daugiabučių namų bendrijas</t>
  </si>
  <si>
    <t>Finansuoti daugiabučių gyvenamųjų namų savininkų bendrijų rėmimo programą</t>
  </si>
  <si>
    <t xml:space="preserve">Tvarkyti komunalines atliekas </t>
  </si>
  <si>
    <t>Vykdyti savivaldybės viešųjų teritorijų tvarkymą</t>
  </si>
  <si>
    <t>Finansuoti 2017 m. prevencinę programą "Saugios aplinkos kūrimas ir bendruomenės teisėtvarkos kūrimas"</t>
  </si>
  <si>
    <t>Įgyvendinti priemones, finansuojamas iš Savivaldybės administracijos direktoriaus rezervo</t>
  </si>
  <si>
    <t>Įgyvendinti priemones, finansuojamas iš Savivaldybės mero fondo</t>
  </si>
  <si>
    <t xml:space="preserve">Kompensuoti UAB "Kėdbusas" nuostolingus maršrutus </t>
  </si>
  <si>
    <t>Dalyvauti Kauno regionio plėtros veikloje</t>
  </si>
  <si>
    <t>Įrengti Akademijos kultūros centro  žiūrovų salės ir scenos įgarsinimo sistemą</t>
  </si>
  <si>
    <t>Užtikrinti rajono nevyriausybinių organizacijų (įskaitant bendruomenes organizacijas) plėtrą</t>
  </si>
  <si>
    <t xml:space="preserve">Sudaryti sąlygas bendruomeninių organizacijų veiklai </t>
  </si>
  <si>
    <t>iš jų:  iš Bendrosios dotacijos kompensacija</t>
  </si>
  <si>
    <t>darbo rinkos politikos rengimas ir įgyvendinimas</t>
  </si>
  <si>
    <t>Atnaujinti Labūnavos pagrindinės mokyklos  "Dobiliuko" skyriaus pastatus, apšiltinant lauko sienas</t>
  </si>
  <si>
    <t xml:space="preserve">KĖDAINIŲ RAJONO SAVIVALDYBĖS BIUDŽETO APYVARTOS LĖŠŲ (2016 METŲ BIUDŽETO LĖŠŲ LIKUČIO) PASKIRSTYMAS  </t>
  </si>
  <si>
    <t xml:space="preserve">2017 METŲ VALSTYBĖS BIUDŽETO SPECIALIOSIOS TIKSLINĖS DOTACIJOS VALSTYBĖS INVESTICIJŲ  PROGRAMOJE NUMATYTOMS KAPITALO INVESTICIJOMS FINANSUOTI ASIGNAVIMAI </t>
  </si>
  <si>
    <t>Specialioji tikslinė dotacija valstybės investicijų 2017 m. programoje numatytoms kapitalo investicijoms</t>
  </si>
  <si>
    <t>Įrengti nuotekų tinklus Pavermenio kaime</t>
  </si>
  <si>
    <t>Aptverti Dotnuvos g. esančias kapines</t>
  </si>
  <si>
    <t>iš jų: pedagoginių darbuotojų darbo apmokėjimo sąlygoms gerinti</t>
  </si>
  <si>
    <t>neformaliajam vaikų švietimui</t>
  </si>
  <si>
    <t>VšĮ Mažylių akademijai pedagoginių darbuotojų darbo apmokėjimo sąlygoms gerinti</t>
  </si>
  <si>
    <t>Specialioji tikslinė dotacija privalomųjų biologinio saugumo priemonių neversliniuose kiaulininkystės ūkiuose taikymo įvertinimo ir sklaidos apie afrikinį kiaulių marą organizavimo išlaidoms</t>
  </si>
  <si>
    <t xml:space="preserve">Specialioji tikslinė dotacija vietinės reikšmės keliams (gatvėms) tiesti, taisyti (rekonstruoti), prižiūrėti ir saugaus eismo sąlygoms užtikrinti </t>
  </si>
  <si>
    <t xml:space="preserve">2017 METŲ VALSTYBĖS BIUDŽETO SPECIALIOSIOS TIKSLINĖS DOTACIJOS SAVIVALDYBĖS BIUDŽETUI KITI ASIGNAVIMAI </t>
  </si>
  <si>
    <t>2017 METŲ VALSTYBĖS BIUDŽETO SPECIALIOSIOS TIKSLINĖS DOTACIJOS SAVIVALDYBĖS BIUDŽETUI MOKINIO KREPŠELIUI  FINANSUOTI ASIGNAVIMAI</t>
  </si>
  <si>
    <r>
      <t>09.02.01.01</t>
    </r>
    <r>
      <rPr>
        <sz val="10"/>
        <rFont val="Times New Roman"/>
        <family val="1"/>
      </rPr>
      <t xml:space="preserve">
09.02.02.01</t>
    </r>
  </si>
  <si>
    <t>2017 METŲ VALSTYBĖS BIUDŽETO DOTACIJOS IŠ KITŲ VALDYMO LYGIŲ SAVIVALDYBĖS BIUDŽETUI PROJEKTAMS FINANSUOTI  ASIGNAVIMAI</t>
  </si>
  <si>
    <t>Kėdainių rajono savivaldybės administracija iš viso</t>
  </si>
  <si>
    <t xml:space="preserve">Modernizuoti Kėdainių rajono Krakių Mikalojaus Katkaus gimnazijos pastatą Kauno g. 26, Krakių mstl., Kėdainių r. </t>
  </si>
  <si>
    <t>Rekonstruoti Šėtos socialinio ir ugdymo centrą Ramygalos g. 34 A, Šėtos mstl., Kėdainių r.</t>
  </si>
  <si>
    <t>iš jų: išlaidoms, susijusioms su pedagoginių darbuotojų skaičiaus optimizavimu</t>
  </si>
  <si>
    <t>iš jų: darbuotojų darbo apmokėjimo įstatymui laipsniškai įgyvendinti</t>
  </si>
  <si>
    <t xml:space="preserve"> darbuotojų darbo apmokėjimo įstatymui laipsniškai įgyvendinti</t>
  </si>
  <si>
    <t>Kėdainių r. Miegėnų pagrindinė mokykla</t>
  </si>
  <si>
    <t xml:space="preserve">Rekonstruoti Kėdainių miesto stadioną </t>
  </si>
  <si>
    <t>Specialioji tikslinė dotacija valstybės investicijų 2017 m. programoje numatytai švietimo įstaigų modernizavimo programai</t>
  </si>
  <si>
    <t xml:space="preserve">     Kėdainių r. Krakių Mikalojaus Katkaus gimnazijai, Kauno g. 26, Krakių mstl., Kėdainių r. </t>
  </si>
  <si>
    <t xml:space="preserve">     Kėdainių miesto Nuokalnės gatvei, kuri jungiasi su valstybinės reikšmės krašto keliu Nr. 195 Kėdainiai-Krekenava-Panevėžys, rekonstruoti</t>
  </si>
  <si>
    <t xml:space="preserve">     Kėdainių miesto Pramonės gatvei, kuri jungiasi su valstybinės reikšmės rajoniniu keliu Nr. 1906 Aukštutiniai Kaniūkai-Babtai-Labūnava-Kėdainiai, rekonstruoti</t>
  </si>
  <si>
    <t>15</t>
  </si>
  <si>
    <t>16</t>
  </si>
  <si>
    <t>17</t>
  </si>
  <si>
    <t>Modernizuoti Kėdainių šviesiosios gimnazijos pastatą Kėdainiuose, Didžioji g.60 (statybos konservavimo darbai)</t>
  </si>
  <si>
    <t>3.1.3</t>
  </si>
  <si>
    <t xml:space="preserve">Modernizuoti Kėdainių rajono Truskavos pagrindinės mokyklos pastatą Gaisų g. 1, Pavermenio k., Kėdainių r. </t>
  </si>
  <si>
    <t>31.1</t>
  </si>
  <si>
    <t>33.1</t>
  </si>
  <si>
    <t>33.2</t>
  </si>
  <si>
    <t>33.3</t>
  </si>
  <si>
    <t>33.4</t>
  </si>
  <si>
    <t>33.4.1</t>
  </si>
  <si>
    <t>33.4.2</t>
  </si>
  <si>
    <t>33.4.3</t>
  </si>
  <si>
    <t>33.4.4</t>
  </si>
  <si>
    <t>33.4.5</t>
  </si>
  <si>
    <t>33.4.6</t>
  </si>
  <si>
    <t>33.4.7</t>
  </si>
  <si>
    <t>33.4.8</t>
  </si>
  <si>
    <t>33.4.9</t>
  </si>
  <si>
    <t>36.1</t>
  </si>
  <si>
    <t>36.2</t>
  </si>
  <si>
    <t>36.3</t>
  </si>
  <si>
    <t>36.4</t>
  </si>
  <si>
    <t>36.5</t>
  </si>
  <si>
    <t>36.6</t>
  </si>
  <si>
    <t>36.7</t>
  </si>
  <si>
    <t>36.8</t>
  </si>
  <si>
    <t>36.9</t>
  </si>
  <si>
    <t>36.10</t>
  </si>
  <si>
    <t>36.11</t>
  </si>
  <si>
    <t>36.12</t>
  </si>
  <si>
    <t>36.13</t>
  </si>
  <si>
    <t>36.14</t>
  </si>
  <si>
    <t>36.15</t>
  </si>
  <si>
    <t>36.16</t>
  </si>
  <si>
    <t>36.17</t>
  </si>
  <si>
    <t>36.17.1</t>
  </si>
  <si>
    <t>36.17.2</t>
  </si>
  <si>
    <t>36.17.3</t>
  </si>
  <si>
    <t>36.17.4</t>
  </si>
  <si>
    <t>43.1</t>
  </si>
  <si>
    <t>43.2</t>
  </si>
  <si>
    <t>43.3</t>
  </si>
  <si>
    <t>43.4</t>
  </si>
  <si>
    <t>43.5</t>
  </si>
  <si>
    <t>43.6</t>
  </si>
  <si>
    <t>43.7</t>
  </si>
  <si>
    <t>43.8</t>
  </si>
  <si>
    <t>43.9</t>
  </si>
  <si>
    <t>43.10</t>
  </si>
  <si>
    <t>43.10.1</t>
  </si>
  <si>
    <t>43.10.2</t>
  </si>
  <si>
    <t>43.10.3</t>
  </si>
  <si>
    <t>43.10.4</t>
  </si>
  <si>
    <t>43.10.5</t>
  </si>
  <si>
    <t>56.1</t>
  </si>
  <si>
    <t>56.2</t>
  </si>
  <si>
    <t>56.3</t>
  </si>
  <si>
    <t>56.4</t>
  </si>
  <si>
    <t>76.1</t>
  </si>
  <si>
    <t>76.2</t>
  </si>
  <si>
    <t>76.3</t>
  </si>
  <si>
    <t>76.4</t>
  </si>
  <si>
    <t>76.4.1</t>
  </si>
  <si>
    <t>76.4.2</t>
  </si>
  <si>
    <t>76.4.3</t>
  </si>
  <si>
    <t>76.4.4</t>
  </si>
  <si>
    <t>76.4.5</t>
  </si>
  <si>
    <t>79.1</t>
  </si>
  <si>
    <t>79.2</t>
  </si>
  <si>
    <t>79.3</t>
  </si>
  <si>
    <t>81.1</t>
  </si>
  <si>
    <t>81.1.1</t>
  </si>
  <si>
    <t>81.1.2</t>
  </si>
  <si>
    <t>81.1.3</t>
  </si>
  <si>
    <t>81.1.4</t>
  </si>
  <si>
    <t>81.1.5</t>
  </si>
  <si>
    <t>81.1.6</t>
  </si>
  <si>
    <t>81.1.7</t>
  </si>
  <si>
    <t>81.1.8</t>
  </si>
  <si>
    <t>81.1.9</t>
  </si>
  <si>
    <t>81.1.10</t>
  </si>
  <si>
    <t>81.1.11</t>
  </si>
  <si>
    <t>81.1.12</t>
  </si>
  <si>
    <t>81.1.13</t>
  </si>
  <si>
    <t>81.1.14</t>
  </si>
  <si>
    <t>81.1.15</t>
  </si>
  <si>
    <t>81.1.16</t>
  </si>
  <si>
    <t>81.1.17</t>
  </si>
  <si>
    <t>81.1.18</t>
  </si>
  <si>
    <t>81.1.19</t>
  </si>
  <si>
    <t>81.1.20</t>
  </si>
  <si>
    <t>81.1.21</t>
  </si>
  <si>
    <t>81.1.22</t>
  </si>
  <si>
    <t>81.1.23</t>
  </si>
  <si>
    <t>81.1.24</t>
  </si>
  <si>
    <t>81.1.25</t>
  </si>
  <si>
    <t>81.1.26</t>
  </si>
  <si>
    <t>81.1.27</t>
  </si>
  <si>
    <t>81.1.28</t>
  </si>
  <si>
    <t>81.1.29</t>
  </si>
  <si>
    <t>81.1.30</t>
  </si>
  <si>
    <t>81.1.31</t>
  </si>
  <si>
    <t>81.1.32</t>
  </si>
  <si>
    <t>81.1.33</t>
  </si>
  <si>
    <t>81.1.34</t>
  </si>
  <si>
    <t>81.2</t>
  </si>
  <si>
    <t>81.3</t>
  </si>
  <si>
    <t>81.4</t>
  </si>
  <si>
    <t>94.1</t>
  </si>
  <si>
    <t>94.2</t>
  </si>
  <si>
    <t>94.2.1</t>
  </si>
  <si>
    <t>94.3</t>
  </si>
  <si>
    <t>94.4</t>
  </si>
  <si>
    <t>94.5</t>
  </si>
  <si>
    <t>107.1</t>
  </si>
  <si>
    <t>107.1.1</t>
  </si>
  <si>
    <t>109.1</t>
  </si>
  <si>
    <t>109.2</t>
  </si>
  <si>
    <t>113.1</t>
  </si>
  <si>
    <t>113.2</t>
  </si>
  <si>
    <t>113.3</t>
  </si>
  <si>
    <t>113.4</t>
  </si>
  <si>
    <t>113.5</t>
  </si>
  <si>
    <t>113.6</t>
  </si>
  <si>
    <t>114.1</t>
  </si>
  <si>
    <t>4.1</t>
  </si>
  <si>
    <t>4.2</t>
  </si>
  <si>
    <t>6.1</t>
  </si>
  <si>
    <t>6.2</t>
  </si>
  <si>
    <t>8.1</t>
  </si>
  <si>
    <t>8.2</t>
  </si>
  <si>
    <t>8.3</t>
  </si>
  <si>
    <t>10.1</t>
  </si>
  <si>
    <t>12.1</t>
  </si>
  <si>
    <t>31.2</t>
  </si>
  <si>
    <t>31.3</t>
  </si>
  <si>
    <t>3.1</t>
  </si>
  <si>
    <t>5.1</t>
  </si>
  <si>
    <t>14.1</t>
  </si>
  <si>
    <t>17.1</t>
  </si>
  <si>
    <t>3.1.1</t>
  </si>
  <si>
    <t>3.1.2</t>
  </si>
  <si>
    <t>7.1</t>
  </si>
  <si>
    <t>7.1.1</t>
  </si>
  <si>
    <t>7.1.2</t>
  </si>
  <si>
    <t>9.1</t>
  </si>
  <si>
    <t>9.1.1</t>
  </si>
  <si>
    <t>13.1</t>
  </si>
  <si>
    <t>13.1.1</t>
  </si>
  <si>
    <t>13.1.2</t>
  </si>
  <si>
    <t>15.1</t>
  </si>
  <si>
    <t>15.2</t>
  </si>
  <si>
    <t>2.1</t>
  </si>
  <si>
    <t>darbuotojų darbo apmokėjimo įstatymui laipsniškai įgyvendinti</t>
  </si>
  <si>
    <t>20.1</t>
  </si>
  <si>
    <t>20.2</t>
  </si>
  <si>
    <t>Kėdainių pagalbos šeimai centras</t>
  </si>
  <si>
    <t>5.2</t>
  </si>
  <si>
    <t>Kėdainių r. Truskavos pagrindinei mokyklai, Gaisų g. 1, Pavermenio k., Truskavos sen., Kėdainių r. sav.</t>
  </si>
  <si>
    <t>Kėdainių rajono savivaldybės administracija</t>
  </si>
  <si>
    <t>Sutvarkyti/sukurti atviras viešąsias erdves Kėdainių rajone, pritaikant jas kaimo bendruomenės poreikiams bei laisvalaikiui</t>
  </si>
  <si>
    <t>08.01.01.02</t>
  </si>
  <si>
    <t>Finansuoti neįgaliųjų socialinės integracijos per kūno kultūrą ir sportą projektus</t>
  </si>
  <si>
    <t>Rekonstruoti/įrengti/modernizuoti Kėdainių miesto gatvių apšvietimą (Mindaugo, Pavasario, Šermukšnių, Šilelio, Kruopinių, Vilniaus,  Kanapinsko, Respublikos, Rasos, Liaudies, Janušavos, Gedimino, Pavasario, Josvainių, Smilgos, Tilto, Janušavos, Lauko,  J.Telegos, Knypavos, Kęstučio, Daukšos, Dariaus ir Girėno,  Liepų al., Šėtos  gatvės ir kt.)</t>
  </si>
  <si>
    <t>79.4</t>
  </si>
  <si>
    <t>79.4.1</t>
  </si>
  <si>
    <t>79.4.2</t>
  </si>
  <si>
    <t>79.4.3</t>
  </si>
  <si>
    <t>79.4.4</t>
  </si>
  <si>
    <t>79.4.5</t>
  </si>
  <si>
    <t>79.4.6</t>
  </si>
  <si>
    <t>79.4.7</t>
  </si>
  <si>
    <t>79.4.8</t>
  </si>
  <si>
    <t>79.4.9</t>
  </si>
  <si>
    <t>79.4.10</t>
  </si>
  <si>
    <t>79.4.11</t>
  </si>
  <si>
    <t>79.4.12</t>
  </si>
  <si>
    <t>79.4.13</t>
  </si>
  <si>
    <t>79.4.14</t>
  </si>
  <si>
    <t>79.4.15</t>
  </si>
  <si>
    <t>79.4.16</t>
  </si>
  <si>
    <t>79.4.17</t>
  </si>
  <si>
    <t>79.4.18</t>
  </si>
  <si>
    <t>56.5</t>
  </si>
  <si>
    <t>56.5.1</t>
  </si>
  <si>
    <t>Kėdainių lopšelis-darželis "Puriena"</t>
  </si>
  <si>
    <t>Kėdainių lopšelis-darželis "Vaikystė"</t>
  </si>
  <si>
    <t>Remontuoti viešuosius kelius</t>
  </si>
  <si>
    <t>Remontuoti šeimynos "Alrudai" gyvenamąsias patalpas</t>
  </si>
  <si>
    <t>Remontuoti šeimynos "Kampučiai II" gyvenamąsias patalpas</t>
  </si>
  <si>
    <t>Rekonstruoti Kėdainių rajono savivaldybės pastatą, esantį Didžiosios Rinkos a.4, Kėdainiuose, įrengiant Mikalojaus Daukšos viešosios bibliotekos vaikų ir jaunimo skyrių</t>
  </si>
  <si>
    <t>09.05.01.01  09.05.01.02 09.05.01.03</t>
  </si>
  <si>
    <t>09.01.01.01  09.01.02.01 09.02.01.01</t>
  </si>
  <si>
    <t>43.10.6</t>
  </si>
  <si>
    <t>43.10.7</t>
  </si>
  <si>
    <t>10.2</t>
  </si>
  <si>
    <t>59.1</t>
  </si>
  <si>
    <t>59.2</t>
  </si>
  <si>
    <t>59.3</t>
  </si>
  <si>
    <t>59.4</t>
  </si>
  <si>
    <t>59.5</t>
  </si>
  <si>
    <t>59.6</t>
  </si>
  <si>
    <t>59.7</t>
  </si>
  <si>
    <t>Vykdyti aplinkos apsaugos rėmimo specialiąją programą (pridedama 14 priedas)</t>
  </si>
  <si>
    <t xml:space="preserve">     Šėtos socialinio ir ugdymo centro Ramygalos g. 34 A, Šėtos mstl., Kėdainių r., rekonstrukcijai</t>
  </si>
  <si>
    <t>Atlikti miesto Rotušės vidaus remonto darbus</t>
  </si>
  <si>
    <t>01.03.02.09 07.06.01.01 08.02.01.08 
09.01.01.01  09.01.02.01 09.02.01.01 09.05.01.0 1
09.02.02.01</t>
  </si>
  <si>
    <t>Rekonstruoti Didžiosios Rrinkos aikštę</t>
  </si>
  <si>
    <t>Rekonstruoti Didžiosios Rinkos aikštę</t>
  </si>
  <si>
    <t>08.02.01.08 09.01.01.01  09.01.02.01 09.02.01.01
09.02.02.01 10.09.01.01</t>
  </si>
  <si>
    <t>06.02.01.01 08.02.01.07 08.02.01.08 08.02.01.01 08.06.01.01 08.02.01.02  09.01.01.01  09.01.02.01 09.02.01.01
09.02.02.01 09.05.01.01 10.02.01.02</t>
  </si>
  <si>
    <t>05.02.01.01 06.02.01.01 08.02.01.07  08.02.01.08 09.01.01.01  09.01.02.01 09.02.01.01
09.02.02.01 09.05.01.01 10.02.01.02</t>
  </si>
  <si>
    <t>79.4.19</t>
  </si>
  <si>
    <t>Kompleksiškai sutvarkyti Kėdainių sinagogą Smilgos g. 5A, pritaikant kultūrinėms bei kitoms reikmėms</t>
  </si>
  <si>
    <t>08.02.01.07
04.07.03.01</t>
  </si>
  <si>
    <t>43.10.8</t>
  </si>
  <si>
    <t>Atnaujinti Josvainių socialinio ir ugdymo centrą bei įkurti savarankiško gyvenimo namus jame</t>
  </si>
  <si>
    <t>8.4</t>
  </si>
  <si>
    <t>iš jų: dotacija savivaldybės nuosavų lėšų indėliui finansuoti</t>
  </si>
  <si>
    <t>Pro-gra-mos ko-das</t>
  </si>
  <si>
    <t>Planas</t>
  </si>
  <si>
    <t>Įvykdyta</t>
  </si>
  <si>
    <t xml:space="preserve">                                                                 Iš viso asignavimų</t>
  </si>
  <si>
    <t xml:space="preserve">Rekonstruoti  miesto gatves ir šaligatvius, įrengti apšvietimą (A. Kanapinsko g., Lukšio g., Žemaitės g., Mindaugo g., Pavasario g.) </t>
  </si>
  <si>
    <t>Kėdainių rajono savivaldybės tarybos</t>
  </si>
  <si>
    <t>1 priedas</t>
  </si>
  <si>
    <t>2018 m. birželio 29 d. sprendimo Nr. TS -</t>
  </si>
  <si>
    <r>
      <rPr>
        <sz val="10"/>
        <rFont val="Times New Roman"/>
        <family val="1"/>
      </rPr>
      <t>2 prieda</t>
    </r>
    <r>
      <rPr>
        <sz val="12"/>
        <rFont val="Times New Roman"/>
        <family val="1"/>
      </rPr>
      <t>s</t>
    </r>
  </si>
  <si>
    <t xml:space="preserve">2018 m. birželio 29 d. sprendimo Nr. TS - </t>
  </si>
  <si>
    <r>
      <t xml:space="preserve">                                                                                                                                              </t>
    </r>
    <r>
      <rPr>
        <sz val="10"/>
        <rFont val="Times New Roman"/>
        <family val="1"/>
      </rPr>
      <t xml:space="preserve"> 6 priedas</t>
    </r>
  </si>
  <si>
    <t>7  priedas</t>
  </si>
  <si>
    <t>8  priedas</t>
  </si>
  <si>
    <t>9 priedas</t>
  </si>
  <si>
    <t>10 priedas</t>
  </si>
  <si>
    <t>2018 m., birželio 29 d. sprendimo Nr. TS -</t>
  </si>
  <si>
    <t>11  priedas</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</si>
</sst>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quot;Taip&quot;;&quot;Taip&quot;;&quot;Ne&quot;"/>
    <numFmt numFmtId="183" formatCode="&quot;Teisinga&quot;;&quot;Teisinga&quot;;&quot;Klaidinga&quot;"/>
    <numFmt numFmtId="184" formatCode="[$€-2]\ ###,000_);[Red]\([$€-2]\ ###,000\)"/>
    <numFmt numFmtId="185" formatCode="[$-427]yyyy\ &quot;m.&quot;\ mmmm\ d\ &quot;d.&quot;"/>
    <numFmt numFmtId="186" formatCode="0.0;\-0.0;;"/>
    <numFmt numFmtId="187" formatCode="0.0_ ;\-0.0\ "/>
    <numFmt numFmtId="188" formatCode="0.000"/>
    <numFmt numFmtId="189" formatCode="#,##0.0_ ;\-#,##0.0\ "/>
    <numFmt numFmtId="190" formatCode="#,##0.00\ _L_t"/>
    <numFmt numFmtId="191" formatCode="#,##0.0\ _L_t"/>
    <numFmt numFmtId="192" formatCode="0;\-0;;"/>
    <numFmt numFmtId="193" formatCode="#,##0_ ;\-#,##0\ "/>
    <numFmt numFmtId="194" formatCode="0_ ;\-0\ "/>
    <numFmt numFmtId="195" formatCode="0.0;\-0.0;"/>
    <numFmt numFmtId="196" formatCode="_(* #,##0.0_);_(* \(#,##0.0\);_(* &quot;-&quot;??_);_(@_)"/>
    <numFmt numFmtId="197" formatCode="0.00_ ;\-0.00\ "/>
    <numFmt numFmtId="198" formatCode="0.00;\-0.00;;"/>
    <numFmt numFmtId="199" formatCode="[$-10427]#,##0.00;\-#,##0.00"/>
    <numFmt numFmtId="200" formatCode="0.00;\-0.00;"/>
    <numFmt numFmtId="201" formatCode="0.000;\-0.000;"/>
  </numFmts>
  <fonts count="53">
    <font>
      <sz val="10"/>
      <name val="Arial"/>
      <family val="0"/>
    </font>
    <font>
      <sz val="10"/>
      <name val="Times New Roman"/>
      <family val="1"/>
    </font>
    <font>
      <b/>
      <sz val="10"/>
      <name val="Times New Roman"/>
      <family val="1"/>
    </font>
    <font>
      <sz val="12"/>
      <name val="Times New Roman"/>
      <family val="1"/>
    </font>
    <font>
      <sz val="9"/>
      <name val="Times New Roman"/>
      <family val="1"/>
    </font>
    <font>
      <i/>
      <sz val="10"/>
      <name val="Times New Roman"/>
      <family val="1"/>
    </font>
    <font>
      <b/>
      <sz val="9"/>
      <name val="Times New Roman"/>
      <family val="1"/>
    </font>
    <font>
      <sz val="8"/>
      <name val="Times New Roman"/>
      <family val="1"/>
    </font>
    <font>
      <sz val="8"/>
      <name val="Arial"/>
      <family val="2"/>
    </font>
    <font>
      <b/>
      <sz val="11"/>
      <name val="Times New Roman"/>
      <family val="1"/>
    </font>
    <font>
      <sz val="11"/>
      <name val="Calibri"/>
      <family val="2"/>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u val="single"/>
      <sz val="10"/>
      <color indexed="20"/>
      <name val="Arial"/>
      <family val="2"/>
    </font>
    <font>
      <sz val="11"/>
      <color indexed="20"/>
      <name val="Calibri"/>
      <family val="2"/>
    </font>
    <font>
      <sz val="11"/>
      <color indexed="17"/>
      <name val="Calibri"/>
      <family val="2"/>
    </font>
    <font>
      <u val="single"/>
      <sz val="10"/>
      <color indexed="12"/>
      <name val="Arial"/>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0"/>
      <color indexed="10"/>
      <name val="Times New Roman"/>
      <family val="1"/>
    </font>
    <font>
      <b/>
      <sz val="10"/>
      <color indexed="8"/>
      <name val="Times New Roman"/>
      <family val="1"/>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u val="single"/>
      <sz val="10"/>
      <color theme="11"/>
      <name val="Arial"/>
      <family val="2"/>
    </font>
    <font>
      <sz val="11"/>
      <color rgb="FF9C0006"/>
      <name val="Calibri"/>
      <family val="2"/>
    </font>
    <font>
      <sz val="11"/>
      <color rgb="FF006100"/>
      <name val="Calibri"/>
      <family val="2"/>
    </font>
    <font>
      <u val="single"/>
      <sz val="10"/>
      <color theme="10"/>
      <name val="Arial"/>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0"/>
      <color rgb="FFFF0000"/>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5" fillId="0" borderId="3" applyNumberFormat="0" applyFill="0" applyAlignment="0" applyProtection="0"/>
    <xf numFmtId="0" fontId="35" fillId="0" borderId="0" applyNumberFormat="0" applyFill="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21" borderId="0" applyNumberFormat="0" applyBorder="0" applyAlignment="0" applyProtection="0"/>
    <xf numFmtId="0" fontId="41" fillId="0" borderId="0" applyNumberFormat="0" applyFill="0" applyBorder="0" applyAlignment="0" applyProtection="0"/>
    <xf numFmtId="0" fontId="0" fillId="0" borderId="0">
      <alignment/>
      <protection/>
    </xf>
    <xf numFmtId="0" fontId="1" fillId="0" borderId="0">
      <alignment/>
      <protection/>
    </xf>
    <xf numFmtId="0" fontId="0" fillId="0" borderId="0">
      <alignment/>
      <protection/>
    </xf>
    <xf numFmtId="0" fontId="34" fillId="0" borderId="0">
      <alignment/>
      <protection/>
    </xf>
    <xf numFmtId="0" fontId="42" fillId="0" borderId="0" applyNumberFormat="0" applyFill="0" applyBorder="0" applyAlignment="0" applyProtection="0"/>
    <xf numFmtId="0" fontId="43" fillId="22" borderId="4" applyNumberFormat="0" applyAlignment="0" applyProtection="0"/>
    <xf numFmtId="0" fontId="44" fillId="23" borderId="5"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34"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0" fontId="45" fillId="24"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0" fillId="31" borderId="6" applyNumberFormat="0" applyFont="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22" borderId="5" applyNumberFormat="0" applyAlignment="0" applyProtection="0"/>
    <xf numFmtId="0" fontId="48" fillId="0" borderId="7" applyNumberFormat="0" applyFill="0" applyAlignment="0" applyProtection="0"/>
    <xf numFmtId="0" fontId="49" fillId="0" borderId="8" applyNumberFormat="0" applyFill="0" applyAlignment="0" applyProtection="0"/>
    <xf numFmtId="0" fontId="50" fillId="32"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cellStyleXfs>
  <cellXfs count="260">
    <xf numFmtId="0" fontId="0" fillId="0" borderId="0" xfId="0" applyAlignment="1">
      <alignment/>
    </xf>
    <xf numFmtId="180" fontId="1" fillId="0" borderId="0" xfId="0" applyNumberFormat="1" applyFont="1" applyFill="1" applyAlignment="1">
      <alignment/>
    </xf>
    <xf numFmtId="0" fontId="1" fillId="0" borderId="0" xfId="0" applyFont="1" applyFill="1" applyAlignment="1">
      <alignment/>
    </xf>
    <xf numFmtId="49" fontId="1" fillId="0" borderId="0" xfId="0" applyNumberFormat="1" applyFont="1" applyFill="1" applyAlignment="1">
      <alignment horizontal="center"/>
    </xf>
    <xf numFmtId="0" fontId="1" fillId="0" borderId="0" xfId="0" applyFont="1" applyFill="1" applyAlignment="1">
      <alignment horizontal="left"/>
    </xf>
    <xf numFmtId="0" fontId="1" fillId="0" borderId="0" xfId="0" applyFont="1" applyFill="1" applyAlignment="1">
      <alignment horizontal="right"/>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xf>
    <xf numFmtId="49" fontId="2" fillId="0" borderId="10" xfId="0" applyNumberFormat="1"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right"/>
    </xf>
    <xf numFmtId="0" fontId="1" fillId="0" borderId="0" xfId="0" applyFont="1" applyFill="1" applyAlignment="1">
      <alignment horizontal="center"/>
    </xf>
    <xf numFmtId="0" fontId="1" fillId="0" borderId="0" xfId="0" applyFont="1" applyFill="1" applyBorder="1" applyAlignment="1">
      <alignment horizontal="right"/>
    </xf>
    <xf numFmtId="180" fontId="1" fillId="0" borderId="0" xfId="0" applyNumberFormat="1" applyFont="1" applyFill="1" applyBorder="1" applyAlignment="1">
      <alignment horizontal="right"/>
    </xf>
    <xf numFmtId="0" fontId="1" fillId="0" borderId="10" xfId="0" applyFont="1" applyFill="1" applyBorder="1" applyAlignment="1">
      <alignment/>
    </xf>
    <xf numFmtId="0" fontId="1" fillId="0" borderId="0" xfId="0" applyFont="1" applyFill="1" applyBorder="1" applyAlignment="1">
      <alignment/>
    </xf>
    <xf numFmtId="0" fontId="1" fillId="0" borderId="0" xfId="0" applyFont="1" applyFill="1" applyAlignment="1">
      <alignment wrapText="1"/>
    </xf>
    <xf numFmtId="0" fontId="5" fillId="0" borderId="10" xfId="0" applyFont="1" applyFill="1" applyBorder="1" applyAlignment="1">
      <alignment horizontal="left" vertical="center" wrapText="1"/>
    </xf>
    <xf numFmtId="0" fontId="5" fillId="0" borderId="10" xfId="0" applyFont="1" applyFill="1" applyBorder="1" applyAlignment="1">
      <alignment vertical="center" wrapText="1"/>
    </xf>
    <xf numFmtId="49" fontId="1" fillId="0" borderId="0" xfId="0" applyNumberFormat="1" applyFont="1" applyFill="1" applyBorder="1" applyAlignment="1">
      <alignment horizontal="center"/>
    </xf>
    <xf numFmtId="0" fontId="1" fillId="0" borderId="0" xfId="0" applyFont="1" applyFill="1" applyBorder="1" applyAlignment="1">
      <alignment wrapText="1"/>
    </xf>
    <xf numFmtId="49" fontId="4" fillId="0" borderId="0" xfId="0" applyNumberFormat="1" applyFont="1" applyFill="1" applyBorder="1" applyAlignment="1">
      <alignment horizontal="right"/>
    </xf>
    <xf numFmtId="180" fontId="1" fillId="0" borderId="0" xfId="0" applyNumberFormat="1" applyFont="1" applyFill="1" applyBorder="1" applyAlignment="1">
      <alignment/>
    </xf>
    <xf numFmtId="0" fontId="3" fillId="0" borderId="0" xfId="0" applyFont="1" applyFill="1" applyAlignment="1">
      <alignment horizontal="right"/>
    </xf>
    <xf numFmtId="0" fontId="4" fillId="0" borderId="0" xfId="0" applyFont="1" applyFill="1" applyAlignment="1">
      <alignment/>
    </xf>
    <xf numFmtId="0" fontId="1" fillId="0" borderId="10" xfId="0" applyFont="1" applyFill="1" applyBorder="1" applyAlignment="1">
      <alignment horizontal="center" vertical="center" wrapText="1"/>
    </xf>
    <xf numFmtId="0" fontId="4" fillId="0" borderId="0" xfId="0" applyFont="1" applyFill="1" applyAlignment="1">
      <alignment horizontal="right"/>
    </xf>
    <xf numFmtId="0" fontId="1" fillId="0" borderId="0" xfId="0" applyFont="1" applyFill="1" applyAlignment="1">
      <alignment/>
    </xf>
    <xf numFmtId="0" fontId="2" fillId="0" borderId="10" xfId="0" applyFont="1" applyFill="1" applyBorder="1" applyAlignment="1">
      <alignment horizontal="center"/>
    </xf>
    <xf numFmtId="180" fontId="1" fillId="0" borderId="11" xfId="0" applyNumberFormat="1" applyFont="1" applyFill="1" applyBorder="1" applyAlignment="1">
      <alignment vertical="center"/>
    </xf>
    <xf numFmtId="180" fontId="1" fillId="0" borderId="10" xfId="62" applyNumberFormat="1" applyFont="1" applyFill="1" applyBorder="1" applyAlignment="1">
      <alignment vertical="center"/>
      <protection/>
    </xf>
    <xf numFmtId="180" fontId="1" fillId="0" borderId="0" xfId="0" applyNumberFormat="1" applyFont="1" applyFill="1" applyAlignment="1">
      <alignment horizontal="right"/>
    </xf>
    <xf numFmtId="180" fontId="1" fillId="0" borderId="11" xfId="0" applyNumberFormat="1" applyFont="1" applyFill="1" applyBorder="1" applyAlignment="1">
      <alignment horizontal="left" vertical="center" wrapText="1"/>
    </xf>
    <xf numFmtId="49" fontId="1" fillId="0" borderId="0" xfId="0" applyNumberFormat="1" applyFont="1" applyFill="1" applyAlignment="1">
      <alignment horizontal="center" vertical="center"/>
    </xf>
    <xf numFmtId="0" fontId="7" fillId="0" borderId="0" xfId="0" applyFont="1" applyFill="1" applyAlignment="1">
      <alignment/>
    </xf>
    <xf numFmtId="0" fontId="1" fillId="0" borderId="10" xfId="0" applyFont="1" applyFill="1" applyBorder="1" applyAlignment="1">
      <alignment horizontal="left" vertical="center"/>
    </xf>
    <xf numFmtId="0" fontId="1" fillId="0" borderId="10" xfId="0" applyFont="1" applyFill="1" applyBorder="1" applyAlignment="1">
      <alignment horizontal="left" vertical="center" wrapText="1"/>
    </xf>
    <xf numFmtId="180" fontId="1" fillId="0" borderId="12"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0" fontId="2" fillId="0" borderId="13" xfId="0" applyFont="1" applyFill="1" applyBorder="1" applyAlignment="1">
      <alignment horizontal="center" vertical="center" wrapText="1"/>
    </xf>
    <xf numFmtId="180" fontId="1" fillId="0" borderId="13" xfId="0" applyNumberFormat="1" applyFont="1" applyFill="1" applyBorder="1" applyAlignment="1">
      <alignment vertical="center"/>
    </xf>
    <xf numFmtId="49" fontId="1" fillId="0" borderId="0" xfId="0" applyNumberFormat="1" applyFont="1" applyFill="1" applyAlignment="1">
      <alignment/>
    </xf>
    <xf numFmtId="49" fontId="4" fillId="0" borderId="0" xfId="0" applyNumberFormat="1" applyFont="1" applyFill="1" applyAlignment="1">
      <alignment/>
    </xf>
    <xf numFmtId="49" fontId="1" fillId="0" borderId="0" xfId="0" applyNumberFormat="1" applyFont="1" applyFill="1" applyBorder="1" applyAlignment="1">
      <alignment/>
    </xf>
    <xf numFmtId="49" fontId="1" fillId="0" borderId="0" xfId="0" applyNumberFormat="1" applyFont="1" applyFill="1" applyBorder="1" applyAlignment="1">
      <alignment horizontal="right"/>
    </xf>
    <xf numFmtId="49" fontId="1" fillId="0" borderId="0" xfId="0" applyNumberFormat="1" applyFont="1" applyFill="1" applyBorder="1" applyAlignment="1">
      <alignment horizontal="left"/>
    </xf>
    <xf numFmtId="49" fontId="2" fillId="0" borderId="13" xfId="0" applyNumberFormat="1" applyFont="1" applyFill="1" applyBorder="1" applyAlignment="1">
      <alignment horizontal="right"/>
    </xf>
    <xf numFmtId="0" fontId="2" fillId="0" borderId="10" xfId="0" applyFont="1" applyFill="1" applyBorder="1" applyAlignment="1">
      <alignment horizontal="left" vertical="center" wrapText="1"/>
    </xf>
    <xf numFmtId="0" fontId="2" fillId="0" borderId="13" xfId="0" applyFont="1" applyFill="1" applyBorder="1" applyAlignment="1">
      <alignment horizontal="left" vertical="center" wrapText="1"/>
    </xf>
    <xf numFmtId="180" fontId="1" fillId="0" borderId="0" xfId="0" applyNumberFormat="1" applyFont="1" applyFill="1" applyAlignment="1">
      <alignment horizontal="left"/>
    </xf>
    <xf numFmtId="0" fontId="2" fillId="0" borderId="12" xfId="0" applyFont="1" applyFill="1" applyBorder="1" applyAlignment="1">
      <alignment horizontal="center" vertical="center" wrapText="1"/>
    </xf>
    <xf numFmtId="0" fontId="1" fillId="0" borderId="10" xfId="0" applyFont="1" applyFill="1" applyBorder="1" applyAlignment="1">
      <alignment horizontal="right" vertical="center" wrapText="1"/>
    </xf>
    <xf numFmtId="0" fontId="1" fillId="0" borderId="10" xfId="0" applyFont="1" applyFill="1" applyBorder="1" applyAlignment="1">
      <alignment horizontal="right" vertical="center"/>
    </xf>
    <xf numFmtId="0" fontId="4" fillId="0" borderId="10" xfId="0" applyFont="1" applyFill="1" applyBorder="1" applyAlignment="1">
      <alignment horizontal="right" vertical="center"/>
    </xf>
    <xf numFmtId="0" fontId="3" fillId="0" borderId="0" xfId="0" applyFont="1" applyFill="1" applyAlignment="1">
      <alignment/>
    </xf>
    <xf numFmtId="0" fontId="1" fillId="0" borderId="0" xfId="0" applyFont="1" applyFill="1" applyAlignment="1">
      <alignment vertical="center"/>
    </xf>
    <xf numFmtId="49" fontId="2" fillId="0" borderId="13" xfId="0" applyNumberFormat="1" applyFont="1" applyFill="1" applyBorder="1" applyAlignment="1">
      <alignment horizontal="left" vertical="center" wrapText="1"/>
    </xf>
    <xf numFmtId="0" fontId="1" fillId="0" borderId="0" xfId="0" applyFont="1" applyFill="1" applyBorder="1" applyAlignment="1">
      <alignment/>
    </xf>
    <xf numFmtId="180" fontId="1" fillId="0" borderId="10" xfId="0" applyNumberFormat="1" applyFont="1" applyFill="1" applyBorder="1" applyAlignment="1">
      <alignment vertical="center" wrapText="1"/>
    </xf>
    <xf numFmtId="1" fontId="1" fillId="0" borderId="0" xfId="0" applyNumberFormat="1" applyFont="1" applyFill="1" applyAlignment="1">
      <alignment/>
    </xf>
    <xf numFmtId="180" fontId="7" fillId="0" borderId="0" xfId="0" applyNumberFormat="1" applyFont="1" applyFill="1" applyAlignment="1">
      <alignment/>
    </xf>
    <xf numFmtId="180" fontId="1" fillId="0" borderId="10" xfId="0" applyNumberFormat="1" applyFont="1" applyFill="1" applyBorder="1" applyAlignment="1">
      <alignment horizontal="left" vertical="center" wrapText="1"/>
    </xf>
    <xf numFmtId="0" fontId="2" fillId="0" borderId="10" xfId="0" applyFont="1" applyFill="1" applyBorder="1" applyAlignment="1">
      <alignment horizontal="center" vertical="center"/>
    </xf>
    <xf numFmtId="180" fontId="1" fillId="0" borderId="10" xfId="0" applyNumberFormat="1" applyFont="1" applyFill="1" applyBorder="1" applyAlignment="1">
      <alignment vertical="center"/>
    </xf>
    <xf numFmtId="49" fontId="1" fillId="0" borderId="10" xfId="0" applyNumberFormat="1" applyFont="1" applyFill="1" applyBorder="1" applyAlignment="1">
      <alignment vertical="center" wrapText="1"/>
    </xf>
    <xf numFmtId="180" fontId="2" fillId="0" borderId="10" xfId="0" applyNumberFormat="1" applyFont="1" applyFill="1" applyBorder="1" applyAlignment="1">
      <alignment vertical="center" wrapText="1"/>
    </xf>
    <xf numFmtId="180" fontId="1" fillId="0" borderId="10" xfId="0" applyNumberFormat="1" applyFont="1" applyFill="1" applyBorder="1" applyAlignment="1">
      <alignment horizontal="left" vertical="center"/>
    </xf>
    <xf numFmtId="180" fontId="5" fillId="0" borderId="11" xfId="0" applyNumberFormat="1" applyFont="1" applyFill="1" applyBorder="1" applyAlignment="1">
      <alignment horizontal="left" vertical="center" wrapText="1"/>
    </xf>
    <xf numFmtId="0" fontId="1" fillId="0" borderId="10" xfId="0" applyFont="1" applyFill="1" applyBorder="1" applyAlignment="1">
      <alignment horizontal="center" vertical="center"/>
    </xf>
    <xf numFmtId="49" fontId="1" fillId="0" borderId="0" xfId="0" applyNumberFormat="1" applyFont="1" applyFill="1" applyAlignment="1">
      <alignment horizontal="right"/>
    </xf>
    <xf numFmtId="0" fontId="7" fillId="0" borderId="10" xfId="0" applyFont="1" applyFill="1" applyBorder="1" applyAlignment="1">
      <alignment horizontal="right" vertical="center"/>
    </xf>
    <xf numFmtId="49" fontId="6" fillId="0" borderId="10" xfId="0" applyNumberFormat="1" applyFont="1" applyFill="1" applyBorder="1" applyAlignment="1">
      <alignment horizontal="left" vertical="center" wrapText="1"/>
    </xf>
    <xf numFmtId="49" fontId="1" fillId="0" borderId="10" xfId="0" applyNumberFormat="1" applyFont="1" applyFill="1" applyBorder="1" applyAlignment="1">
      <alignment/>
    </xf>
    <xf numFmtId="187" fontId="1" fillId="0" borderId="0" xfId="0" applyNumberFormat="1" applyFont="1" applyFill="1" applyAlignment="1">
      <alignment/>
    </xf>
    <xf numFmtId="181" fontId="1" fillId="0" borderId="10" xfId="0" applyNumberFormat="1" applyFont="1" applyFill="1" applyBorder="1" applyAlignment="1">
      <alignment vertical="center"/>
    </xf>
    <xf numFmtId="189" fontId="1" fillId="0" borderId="10" xfId="0" applyNumberFormat="1" applyFont="1" applyFill="1" applyBorder="1" applyAlignment="1">
      <alignment horizontal="right" vertical="center"/>
    </xf>
    <xf numFmtId="189" fontId="2" fillId="0" borderId="10" xfId="0" applyNumberFormat="1" applyFont="1" applyFill="1" applyBorder="1" applyAlignment="1">
      <alignment horizontal="right" vertical="center"/>
    </xf>
    <xf numFmtId="0" fontId="7" fillId="0" borderId="10" xfId="0" applyFont="1" applyFill="1" applyBorder="1" applyAlignment="1">
      <alignment horizontal="right" vertical="center" wrapText="1"/>
    </xf>
    <xf numFmtId="49" fontId="1" fillId="0" borderId="14" xfId="0" applyNumberFormat="1" applyFont="1" applyFill="1" applyBorder="1" applyAlignment="1">
      <alignment horizontal="center" vertical="center"/>
    </xf>
    <xf numFmtId="0" fontId="1" fillId="0" borderId="10" xfId="0" applyFont="1" applyFill="1" applyBorder="1" applyAlignment="1">
      <alignment wrapText="1"/>
    </xf>
    <xf numFmtId="0" fontId="1" fillId="0" borderId="10" xfId="0" applyFont="1" applyFill="1" applyBorder="1" applyAlignment="1">
      <alignment/>
    </xf>
    <xf numFmtId="49" fontId="2" fillId="0" borderId="10" xfId="0" applyNumberFormat="1" applyFont="1" applyFill="1" applyBorder="1" applyAlignment="1">
      <alignment/>
    </xf>
    <xf numFmtId="49" fontId="7" fillId="0" borderId="10" xfId="0" applyNumberFormat="1" applyFont="1" applyFill="1" applyBorder="1" applyAlignment="1">
      <alignment horizontal="right" vertical="center"/>
    </xf>
    <xf numFmtId="0" fontId="9" fillId="0" borderId="10" xfId="0" applyFont="1" applyFill="1" applyBorder="1" applyAlignment="1">
      <alignment horizontal="center" vertical="center"/>
    </xf>
    <xf numFmtId="49" fontId="1" fillId="0" borderId="10" xfId="0" applyNumberFormat="1" applyFont="1" applyFill="1" applyBorder="1" applyAlignment="1">
      <alignment horizontal="right" vertical="center"/>
    </xf>
    <xf numFmtId="180" fontId="7" fillId="0" borderId="0" xfId="0" applyNumberFormat="1" applyFont="1" applyFill="1" applyAlignment="1">
      <alignment horizontal="right"/>
    </xf>
    <xf numFmtId="187" fontId="1" fillId="0" borderId="0" xfId="0" applyNumberFormat="1" applyFont="1" applyFill="1" applyAlignment="1">
      <alignment horizontal="right"/>
    </xf>
    <xf numFmtId="181" fontId="1" fillId="0" borderId="0" xfId="0" applyNumberFormat="1" applyFont="1" applyFill="1" applyAlignment="1">
      <alignment/>
    </xf>
    <xf numFmtId="49" fontId="5"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center" vertical="center"/>
    </xf>
    <xf numFmtId="49" fontId="1" fillId="0" borderId="14" xfId="0" applyNumberFormat="1" applyFont="1" applyFill="1" applyBorder="1" applyAlignment="1">
      <alignment horizontal="center"/>
    </xf>
    <xf numFmtId="2" fontId="1" fillId="0" borderId="0" xfId="0" applyNumberFormat="1" applyFont="1" applyFill="1" applyAlignment="1">
      <alignment/>
    </xf>
    <xf numFmtId="180" fontId="2" fillId="0" borderId="13" xfId="0" applyNumberFormat="1" applyFont="1" applyFill="1" applyBorder="1" applyAlignment="1">
      <alignment horizontal="center" vertical="center"/>
    </xf>
    <xf numFmtId="189" fontId="1" fillId="0" borderId="0" xfId="0" applyNumberFormat="1" applyFont="1" applyFill="1" applyAlignment="1">
      <alignment/>
    </xf>
    <xf numFmtId="49" fontId="1" fillId="0" borderId="13" xfId="0" applyNumberFormat="1" applyFont="1" applyFill="1" applyBorder="1" applyAlignment="1">
      <alignment vertical="center" wrapText="1"/>
    </xf>
    <xf numFmtId="0" fontId="1" fillId="0" borderId="12" xfId="0" applyFont="1" applyFill="1" applyBorder="1" applyAlignment="1">
      <alignment horizontal="left" vertical="center" wrapText="1"/>
    </xf>
    <xf numFmtId="181" fontId="1" fillId="0" borderId="10" xfId="0" applyNumberFormat="1" applyFont="1" applyFill="1" applyBorder="1" applyAlignment="1">
      <alignment horizontal="right"/>
    </xf>
    <xf numFmtId="181" fontId="2" fillId="0" borderId="10" xfId="0" applyNumberFormat="1" applyFont="1" applyFill="1" applyBorder="1" applyAlignment="1">
      <alignment horizontal="right"/>
    </xf>
    <xf numFmtId="189" fontId="1" fillId="0" borderId="10" xfId="62" applyNumberFormat="1" applyFont="1" applyFill="1" applyBorder="1" applyAlignment="1">
      <alignment horizontal="right" vertical="center"/>
      <protection/>
    </xf>
    <xf numFmtId="49" fontId="1" fillId="0" borderId="12" xfId="0" applyNumberFormat="1" applyFont="1" applyFill="1" applyBorder="1" applyAlignment="1">
      <alignment vertical="center" wrapText="1"/>
    </xf>
    <xf numFmtId="49" fontId="1" fillId="0" borderId="10" xfId="0" applyNumberFormat="1" applyFont="1" applyFill="1" applyBorder="1" applyAlignment="1">
      <alignment horizontal="center"/>
    </xf>
    <xf numFmtId="181" fontId="1" fillId="0" borderId="0" xfId="0" applyNumberFormat="1" applyFont="1" applyFill="1" applyAlignment="1">
      <alignment horizontal="right"/>
    </xf>
    <xf numFmtId="189" fontId="1" fillId="0" borderId="0" xfId="0" applyNumberFormat="1" applyFont="1" applyFill="1" applyAlignment="1">
      <alignment horizontal="right"/>
    </xf>
    <xf numFmtId="0" fontId="2" fillId="0" borderId="10" xfId="0" applyFont="1" applyFill="1" applyBorder="1" applyAlignment="1">
      <alignment horizontal="right" vertical="center"/>
    </xf>
    <xf numFmtId="49" fontId="2" fillId="0" borderId="10" xfId="0" applyNumberFormat="1" applyFont="1" applyFill="1" applyBorder="1" applyAlignment="1">
      <alignment horizontal="right" vertical="center"/>
    </xf>
    <xf numFmtId="49" fontId="2" fillId="0" borderId="10" xfId="0" applyNumberFormat="1" applyFont="1" applyFill="1" applyBorder="1" applyAlignment="1">
      <alignment horizontal="right" vertical="center" wrapText="1"/>
    </xf>
    <xf numFmtId="49" fontId="2" fillId="0" borderId="14" xfId="0" applyNumberFormat="1" applyFont="1" applyFill="1" applyBorder="1" applyAlignment="1">
      <alignment horizontal="center" vertical="center"/>
    </xf>
    <xf numFmtId="49" fontId="9" fillId="0" borderId="10" xfId="0" applyNumberFormat="1" applyFont="1" applyFill="1" applyBorder="1" applyAlignment="1">
      <alignment horizontal="right" vertical="center" wrapText="1"/>
    </xf>
    <xf numFmtId="0" fontId="1" fillId="0" borderId="0" xfId="0" applyFont="1" applyFill="1" applyBorder="1" applyAlignment="1">
      <alignment horizontal="right" vertical="center"/>
    </xf>
    <xf numFmtId="181" fontId="1" fillId="0" borderId="0" xfId="0" applyNumberFormat="1" applyFont="1" applyFill="1" applyBorder="1" applyAlignment="1">
      <alignment/>
    </xf>
    <xf numFmtId="180" fontId="5" fillId="0" borderId="0" xfId="0" applyNumberFormat="1" applyFont="1" applyFill="1" applyBorder="1" applyAlignment="1">
      <alignment vertical="center" wrapText="1"/>
    </xf>
    <xf numFmtId="180" fontId="1" fillId="0" borderId="0" xfId="0" applyNumberFormat="1" applyFont="1" applyFill="1" applyBorder="1" applyAlignment="1">
      <alignment vertical="center" wrapText="1"/>
    </xf>
    <xf numFmtId="49" fontId="5" fillId="0" borderId="10" xfId="0" applyNumberFormat="1" applyFont="1" applyFill="1" applyBorder="1" applyAlignment="1">
      <alignment wrapText="1"/>
    </xf>
    <xf numFmtId="189" fontId="1" fillId="0" borderId="10" xfId="0" applyNumberFormat="1" applyFont="1" applyFill="1" applyBorder="1" applyAlignment="1">
      <alignment horizontal="right" vertical="center" wrapText="1"/>
    </xf>
    <xf numFmtId="189" fontId="2" fillId="0" borderId="10" xfId="0" applyNumberFormat="1" applyFont="1" applyFill="1" applyBorder="1" applyAlignment="1">
      <alignment horizontal="right" vertical="center" wrapText="1"/>
    </xf>
    <xf numFmtId="0" fontId="1" fillId="33" borderId="0" xfId="0" applyFont="1" applyFill="1" applyAlignment="1">
      <alignment/>
    </xf>
    <xf numFmtId="0" fontId="1" fillId="33" borderId="10" xfId="0" applyFont="1" applyFill="1" applyBorder="1" applyAlignment="1">
      <alignment horizontal="right" vertical="center"/>
    </xf>
    <xf numFmtId="49" fontId="2" fillId="33" borderId="10" xfId="0" applyNumberFormat="1" applyFont="1" applyFill="1" applyBorder="1" applyAlignment="1">
      <alignment horizontal="center" vertical="center"/>
    </xf>
    <xf numFmtId="49" fontId="1" fillId="33" borderId="14" xfId="0" applyNumberFormat="1" applyFont="1" applyFill="1" applyBorder="1" applyAlignment="1">
      <alignment horizontal="center" vertical="center"/>
    </xf>
    <xf numFmtId="180" fontId="1" fillId="33" borderId="11" xfId="0" applyNumberFormat="1" applyFont="1" applyFill="1" applyBorder="1" applyAlignment="1">
      <alignment horizontal="left" vertical="center" wrapText="1"/>
    </xf>
    <xf numFmtId="181" fontId="1" fillId="33" borderId="10" xfId="0" applyNumberFormat="1" applyFont="1" applyFill="1" applyBorder="1" applyAlignment="1">
      <alignment horizontal="right"/>
    </xf>
    <xf numFmtId="49" fontId="4" fillId="0" borderId="10" xfId="0" applyNumberFormat="1" applyFont="1" applyFill="1" applyBorder="1" applyAlignment="1">
      <alignment horizontal="center" vertical="center"/>
    </xf>
    <xf numFmtId="189" fontId="2" fillId="0" borderId="10" xfId="0" applyNumberFormat="1" applyFont="1" applyFill="1" applyBorder="1" applyAlignment="1">
      <alignment vertical="center" wrapText="1"/>
    </xf>
    <xf numFmtId="189" fontId="5" fillId="0" borderId="10" xfId="0" applyNumberFormat="1" applyFont="1" applyFill="1" applyBorder="1" applyAlignment="1">
      <alignment vertical="center" wrapText="1"/>
    </xf>
    <xf numFmtId="195" fontId="5" fillId="0" borderId="10" xfId="0" applyNumberFormat="1" applyFont="1" applyFill="1" applyBorder="1" applyAlignment="1">
      <alignment vertical="center" wrapText="1"/>
    </xf>
    <xf numFmtId="180" fontId="1" fillId="0" borderId="10" xfId="0" applyNumberFormat="1" applyFont="1" applyFill="1" applyBorder="1" applyAlignment="1">
      <alignment/>
    </xf>
    <xf numFmtId="0" fontId="2" fillId="0" borderId="10" xfId="0" applyFont="1" applyFill="1" applyBorder="1" applyAlignment="1">
      <alignment horizontal="right" wrapText="1"/>
    </xf>
    <xf numFmtId="49" fontId="1" fillId="0" borderId="10" xfId="0" applyNumberFormat="1" applyFont="1" applyFill="1" applyBorder="1" applyAlignment="1">
      <alignment horizontal="right"/>
    </xf>
    <xf numFmtId="195" fontId="1" fillId="0" borderId="10" xfId="0" applyNumberFormat="1" applyFont="1" applyFill="1" applyBorder="1" applyAlignment="1">
      <alignment vertical="center"/>
    </xf>
    <xf numFmtId="189" fontId="2" fillId="0" borderId="10" xfId="0" applyNumberFormat="1" applyFont="1" applyFill="1" applyBorder="1" applyAlignment="1">
      <alignment vertical="center"/>
    </xf>
    <xf numFmtId="195" fontId="2" fillId="0" borderId="10" xfId="0" applyNumberFormat="1" applyFont="1" applyFill="1" applyBorder="1" applyAlignment="1">
      <alignment vertical="center"/>
    </xf>
    <xf numFmtId="180" fontId="1" fillId="0" borderId="0" xfId="0" applyNumberFormat="1" applyFont="1" applyFill="1" applyBorder="1" applyAlignment="1">
      <alignment vertical="center"/>
    </xf>
    <xf numFmtId="180" fontId="1" fillId="0" borderId="0" xfId="0" applyNumberFormat="1" applyFont="1" applyFill="1" applyAlignment="1">
      <alignment vertical="center"/>
    </xf>
    <xf numFmtId="49" fontId="1" fillId="0" borderId="10" xfId="0" applyNumberFormat="1" applyFont="1" applyFill="1" applyBorder="1" applyAlignment="1">
      <alignment vertical="top" wrapText="1"/>
    </xf>
    <xf numFmtId="195" fontId="1" fillId="0" borderId="10" xfId="0" applyNumberFormat="1" applyFont="1" applyFill="1" applyBorder="1" applyAlignment="1">
      <alignment vertical="center" wrapText="1"/>
    </xf>
    <xf numFmtId="195" fontId="5" fillId="0" borderId="10" xfId="0" applyNumberFormat="1" applyFont="1" applyFill="1" applyBorder="1" applyAlignment="1">
      <alignment vertical="center"/>
    </xf>
    <xf numFmtId="195" fontId="51" fillId="0" borderId="10" xfId="0" applyNumberFormat="1" applyFont="1" applyFill="1" applyBorder="1" applyAlignment="1">
      <alignment vertical="center"/>
    </xf>
    <xf numFmtId="181" fontId="2" fillId="0" borderId="10" xfId="0" applyNumberFormat="1" applyFont="1" applyFill="1" applyBorder="1" applyAlignment="1">
      <alignment vertical="center"/>
    </xf>
    <xf numFmtId="49" fontId="2" fillId="0" borderId="13" xfId="0" applyNumberFormat="1" applyFont="1" applyFill="1" applyBorder="1" applyAlignment="1">
      <alignment/>
    </xf>
    <xf numFmtId="189" fontId="2" fillId="0" borderId="10" xfId="62" applyNumberFormat="1" applyFont="1" applyFill="1" applyBorder="1" applyAlignment="1">
      <alignment horizontal="right" vertical="center"/>
      <protection/>
    </xf>
    <xf numFmtId="180" fontId="1" fillId="0" borderId="10" xfId="0" applyNumberFormat="1" applyFont="1" applyFill="1" applyBorder="1" applyAlignment="1">
      <alignment horizontal="right" vertical="center"/>
    </xf>
    <xf numFmtId="189" fontId="1" fillId="0" borderId="10" xfId="0" applyNumberFormat="1" applyFont="1" applyFill="1" applyBorder="1" applyAlignment="1">
      <alignment vertical="center"/>
    </xf>
    <xf numFmtId="189" fontId="1" fillId="0" borderId="10" xfId="0" applyNumberFormat="1" applyFont="1" applyFill="1" applyBorder="1" applyAlignment="1">
      <alignment vertical="center" wrapText="1"/>
    </xf>
    <xf numFmtId="189" fontId="9" fillId="0" borderId="10" xfId="0" applyNumberFormat="1" applyFont="1" applyFill="1" applyBorder="1" applyAlignment="1">
      <alignment horizontal="right" vertical="center"/>
    </xf>
    <xf numFmtId="181" fontId="2" fillId="0" borderId="10" xfId="0" applyNumberFormat="1" applyFont="1" applyFill="1" applyBorder="1" applyAlignment="1">
      <alignment horizontal="right" wrapText="1"/>
    </xf>
    <xf numFmtId="180" fontId="1" fillId="33" borderId="10" xfId="0" applyNumberFormat="1" applyFont="1" applyFill="1" applyBorder="1" applyAlignment="1">
      <alignment horizontal="right"/>
    </xf>
    <xf numFmtId="180" fontId="1" fillId="0" borderId="10" xfId="0" applyNumberFormat="1" applyFont="1" applyFill="1" applyBorder="1" applyAlignment="1">
      <alignment horizontal="right"/>
    </xf>
    <xf numFmtId="181" fontId="2" fillId="0" borderId="10" xfId="0" applyNumberFormat="1" applyFont="1" applyFill="1" applyBorder="1" applyAlignment="1">
      <alignment vertical="center" wrapText="1"/>
    </xf>
    <xf numFmtId="181" fontId="5" fillId="0" borderId="10" xfId="0" applyNumberFormat="1" applyFont="1" applyFill="1" applyBorder="1" applyAlignment="1">
      <alignment vertical="center"/>
    </xf>
    <xf numFmtId="195" fontId="2" fillId="0" borderId="10" xfId="0" applyNumberFormat="1" applyFont="1" applyFill="1" applyBorder="1" applyAlignment="1">
      <alignment horizontal="right" vertical="center" wrapText="1"/>
    </xf>
    <xf numFmtId="195" fontId="1" fillId="0" borderId="10" xfId="0" applyNumberFormat="1" applyFont="1" applyFill="1" applyBorder="1" applyAlignment="1">
      <alignment horizontal="right" vertical="center"/>
    </xf>
    <xf numFmtId="195" fontId="5" fillId="0" borderId="10" xfId="0" applyNumberFormat="1" applyFont="1" applyFill="1" applyBorder="1" applyAlignment="1">
      <alignment horizontal="right" vertical="center"/>
    </xf>
    <xf numFmtId="195" fontId="2" fillId="0" borderId="10" xfId="0" applyNumberFormat="1" applyFont="1" applyFill="1" applyBorder="1" applyAlignment="1">
      <alignment horizontal="right" vertical="center"/>
    </xf>
    <xf numFmtId="180" fontId="2" fillId="0" borderId="10" xfId="0" applyNumberFormat="1" applyFont="1" applyFill="1" applyBorder="1" applyAlignment="1">
      <alignment vertical="center"/>
    </xf>
    <xf numFmtId="180" fontId="2" fillId="0" borderId="10" xfId="0" applyNumberFormat="1" applyFont="1" applyFill="1" applyBorder="1" applyAlignment="1">
      <alignment horizontal="right" vertical="center"/>
    </xf>
    <xf numFmtId="187" fontId="5" fillId="0" borderId="10" xfId="0" applyNumberFormat="1" applyFont="1" applyFill="1" applyBorder="1" applyAlignment="1">
      <alignment vertical="center"/>
    </xf>
    <xf numFmtId="187" fontId="1" fillId="0" borderId="10" xfId="0" applyNumberFormat="1" applyFont="1" applyFill="1" applyBorder="1" applyAlignment="1">
      <alignment vertical="center"/>
    </xf>
    <xf numFmtId="180" fontId="52" fillId="0" borderId="10" xfId="0" applyNumberFormat="1" applyFont="1" applyFill="1" applyBorder="1" applyAlignment="1">
      <alignment horizontal="right" vertical="center"/>
    </xf>
    <xf numFmtId="180" fontId="2" fillId="0" borderId="10" xfId="0" applyNumberFormat="1" applyFont="1" applyFill="1" applyBorder="1" applyAlignment="1">
      <alignment horizontal="right"/>
    </xf>
    <xf numFmtId="49" fontId="4" fillId="0" borderId="10" xfId="0" applyNumberFormat="1" applyFont="1" applyFill="1" applyBorder="1" applyAlignment="1">
      <alignment horizontal="center" vertical="center" wrapText="1"/>
    </xf>
    <xf numFmtId="189" fontId="1" fillId="0" borderId="0" xfId="0" applyNumberFormat="1" applyFont="1" applyFill="1" applyBorder="1" applyAlignment="1">
      <alignment horizontal="right"/>
    </xf>
    <xf numFmtId="0" fontId="1" fillId="0" borderId="13" xfId="0" applyFont="1" applyFill="1" applyBorder="1" applyAlignment="1">
      <alignment horizontal="left" vertical="center" wrapText="1"/>
    </xf>
    <xf numFmtId="0" fontId="10" fillId="0" borderId="0" xfId="0" applyFont="1" applyFill="1" applyAlignment="1">
      <alignment wrapText="1"/>
    </xf>
    <xf numFmtId="0" fontId="1" fillId="0" borderId="10" xfId="60" applyFont="1" applyFill="1" applyBorder="1" applyAlignment="1">
      <alignment vertical="center" wrapText="1"/>
      <protection/>
    </xf>
    <xf numFmtId="0" fontId="1" fillId="0" borderId="10" xfId="0" applyFont="1" applyFill="1" applyBorder="1" applyAlignment="1">
      <alignment horizontal="left" vertical="top" wrapText="1"/>
    </xf>
    <xf numFmtId="49" fontId="1" fillId="0" borderId="10" xfId="60" applyNumberFormat="1" applyFont="1" applyFill="1" applyBorder="1" applyAlignment="1">
      <alignment horizontal="center" vertical="center" wrapText="1"/>
      <protection/>
    </xf>
    <xf numFmtId="0" fontId="6" fillId="0" borderId="10" xfId="0" applyFont="1" applyFill="1" applyBorder="1" applyAlignment="1">
      <alignment horizontal="center" vertical="center"/>
    </xf>
    <xf numFmtId="180" fontId="1" fillId="0" borderId="10" xfId="0" applyNumberFormat="1" applyFont="1" applyFill="1" applyBorder="1" applyAlignment="1">
      <alignment/>
    </xf>
    <xf numFmtId="0" fontId="4" fillId="0" borderId="10" xfId="0" applyFont="1" applyFill="1" applyBorder="1" applyAlignment="1">
      <alignment/>
    </xf>
    <xf numFmtId="180" fontId="1" fillId="0" borderId="11" xfId="0" applyNumberFormat="1" applyFont="1" applyFill="1" applyBorder="1" applyAlignment="1">
      <alignment/>
    </xf>
    <xf numFmtId="180" fontId="1" fillId="0" borderId="11" xfId="0" applyNumberFormat="1" applyFont="1" applyFill="1" applyBorder="1" applyAlignment="1">
      <alignment wrapText="1"/>
    </xf>
    <xf numFmtId="180" fontId="1" fillId="0" borderId="12" xfId="0" applyNumberFormat="1" applyFont="1" applyFill="1" applyBorder="1" applyAlignment="1">
      <alignment/>
    </xf>
    <xf numFmtId="180" fontId="1" fillId="0" borderId="12" xfId="0" applyNumberFormat="1" applyFont="1" applyFill="1" applyBorder="1" applyAlignment="1">
      <alignment vertical="center"/>
    </xf>
    <xf numFmtId="49" fontId="1" fillId="0" borderId="12" xfId="0" applyNumberFormat="1" applyFont="1" applyFill="1" applyBorder="1" applyAlignment="1">
      <alignment horizontal="left" vertical="center" wrapText="1"/>
    </xf>
    <xf numFmtId="180" fontId="1" fillId="0" borderId="12" xfId="62" applyNumberFormat="1" applyFont="1" applyFill="1" applyBorder="1" applyAlignment="1">
      <alignment vertical="center"/>
      <protection/>
    </xf>
    <xf numFmtId="180" fontId="1" fillId="0" borderId="12" xfId="0" applyNumberFormat="1" applyFont="1" applyFill="1" applyBorder="1" applyAlignment="1">
      <alignment vertical="center" wrapText="1"/>
    </xf>
    <xf numFmtId="0" fontId="2" fillId="0" borderId="10" xfId="0" applyFont="1" applyFill="1" applyBorder="1" applyAlignment="1">
      <alignment horizontal="center" wrapText="1"/>
    </xf>
    <xf numFmtId="180" fontId="1" fillId="0" borderId="11" xfId="0" applyNumberFormat="1" applyFont="1" applyFill="1" applyBorder="1" applyAlignment="1">
      <alignment vertical="center" wrapText="1"/>
    </xf>
    <xf numFmtId="180" fontId="1" fillId="0" borderId="13" xfId="0" applyNumberFormat="1" applyFont="1" applyFill="1" applyBorder="1" applyAlignment="1">
      <alignment/>
    </xf>
    <xf numFmtId="180" fontId="1" fillId="0" borderId="10" xfId="0" applyNumberFormat="1" applyFont="1" applyFill="1" applyBorder="1" applyAlignment="1">
      <alignment vertical="center"/>
    </xf>
    <xf numFmtId="49" fontId="1" fillId="0" borderId="14" xfId="0" applyNumberFormat="1" applyFont="1" applyFill="1" applyBorder="1" applyAlignment="1">
      <alignment horizontal="right"/>
    </xf>
    <xf numFmtId="49" fontId="1" fillId="0" borderId="10" xfId="0" applyNumberFormat="1" applyFont="1" applyFill="1" applyBorder="1" applyAlignment="1">
      <alignment horizontal="right" wrapText="1"/>
    </xf>
    <xf numFmtId="49" fontId="1" fillId="0" borderId="14" xfId="0" applyNumberFormat="1" applyFont="1" applyFill="1" applyBorder="1" applyAlignment="1">
      <alignment horizontal="right" wrapText="1"/>
    </xf>
    <xf numFmtId="49" fontId="1" fillId="0" borderId="10" xfId="0" applyNumberFormat="1" applyFont="1" applyFill="1" applyBorder="1" applyAlignment="1">
      <alignment/>
    </xf>
    <xf numFmtId="17" fontId="7" fillId="0" borderId="10" xfId="0" applyNumberFormat="1" applyFont="1" applyFill="1" applyBorder="1" applyAlignment="1">
      <alignment horizontal="right" vertical="center"/>
    </xf>
    <xf numFmtId="49" fontId="5" fillId="0" borderId="10" xfId="0" applyNumberFormat="1" applyFont="1" applyFill="1" applyBorder="1" applyAlignment="1">
      <alignment/>
    </xf>
    <xf numFmtId="180" fontId="5" fillId="0" borderId="11" xfId="0" applyNumberFormat="1" applyFont="1" applyFill="1" applyBorder="1" applyAlignment="1">
      <alignment vertical="center" wrapText="1"/>
    </xf>
    <xf numFmtId="180" fontId="5" fillId="0" borderId="11" xfId="0" applyNumberFormat="1" applyFont="1" applyFill="1" applyBorder="1" applyAlignment="1">
      <alignment horizontal="left" vertical="center"/>
    </xf>
    <xf numFmtId="180" fontId="1" fillId="0" borderId="10" xfId="61" applyNumberFormat="1" applyFont="1" applyFill="1" applyBorder="1" applyAlignment="1">
      <alignment vertical="center" wrapText="1"/>
      <protection/>
    </xf>
    <xf numFmtId="180" fontId="0" fillId="0" borderId="0" xfId="0" applyNumberFormat="1" applyFill="1" applyAlignment="1">
      <alignment horizontal="right" vertical="top"/>
    </xf>
    <xf numFmtId="180" fontId="1" fillId="0" borderId="13" xfId="0" applyNumberFormat="1" applyFont="1" applyFill="1" applyBorder="1" applyAlignment="1">
      <alignment vertical="center" wrapText="1"/>
    </xf>
    <xf numFmtId="49" fontId="1" fillId="0" borderId="14" xfId="62" applyNumberFormat="1" applyFont="1" applyFill="1" applyBorder="1" applyAlignment="1">
      <alignment horizontal="center" vertical="center" wrapText="1"/>
      <protection/>
    </xf>
    <xf numFmtId="180" fontId="1" fillId="0" borderId="12" xfId="0" applyNumberFormat="1" applyFont="1" applyFill="1" applyBorder="1" applyAlignment="1">
      <alignment horizontal="left" wrapText="1"/>
    </xf>
    <xf numFmtId="180" fontId="1" fillId="0" borderId="10" xfId="0" applyNumberFormat="1" applyFont="1" applyFill="1" applyBorder="1" applyAlignment="1">
      <alignment wrapText="1"/>
    </xf>
    <xf numFmtId="180" fontId="1" fillId="0" borderId="12" xfId="0" applyNumberFormat="1" applyFont="1" applyFill="1" applyBorder="1" applyAlignment="1">
      <alignment wrapText="1"/>
    </xf>
    <xf numFmtId="180" fontId="1" fillId="0" borderId="10" xfId="0" applyNumberFormat="1" applyFont="1" applyFill="1" applyBorder="1" applyAlignment="1">
      <alignment vertical="center" wrapText="1"/>
    </xf>
    <xf numFmtId="195" fontId="1" fillId="0" borderId="10" xfId="62" applyNumberFormat="1" applyFont="1" applyFill="1" applyBorder="1" applyAlignment="1">
      <alignment horizontal="right" vertical="center"/>
      <protection/>
    </xf>
    <xf numFmtId="180" fontId="5" fillId="0" borderId="10" xfId="0" applyNumberFormat="1" applyFont="1" applyFill="1" applyBorder="1" applyAlignment="1">
      <alignment vertical="center" wrapText="1"/>
    </xf>
    <xf numFmtId="187" fontId="1" fillId="0" borderId="10" xfId="0" applyNumberFormat="1" applyFont="1" applyFill="1" applyBorder="1" applyAlignment="1">
      <alignment horizontal="right" vertical="center"/>
    </xf>
    <xf numFmtId="180" fontId="5" fillId="0" borderId="10" xfId="0" applyNumberFormat="1" applyFont="1" applyFill="1" applyBorder="1" applyAlignment="1">
      <alignment vertical="center"/>
    </xf>
    <xf numFmtId="180" fontId="1" fillId="0" borderId="10" xfId="62" applyNumberFormat="1" applyFont="1" applyFill="1" applyBorder="1" applyAlignment="1">
      <alignment vertical="center" wrapText="1"/>
      <protection/>
    </xf>
    <xf numFmtId="180" fontId="1" fillId="0" borderId="10" xfId="62" applyNumberFormat="1" applyFont="1" applyFill="1" applyBorder="1" applyAlignment="1">
      <alignment horizontal="left" vertical="center" wrapText="1"/>
      <protection/>
    </xf>
    <xf numFmtId="49" fontId="6" fillId="0" borderId="10" xfId="0" applyNumberFormat="1" applyFont="1" applyFill="1" applyBorder="1" applyAlignment="1">
      <alignment horizontal="center" vertical="center" wrapText="1"/>
    </xf>
    <xf numFmtId="49" fontId="4" fillId="0" borderId="10" xfId="62" applyNumberFormat="1" applyFont="1" applyFill="1" applyBorder="1" applyAlignment="1">
      <alignment horizontal="center" vertical="center"/>
      <protection/>
    </xf>
    <xf numFmtId="49" fontId="4" fillId="0" borderId="10" xfId="62" applyNumberFormat="1" applyFont="1" applyFill="1" applyBorder="1" applyAlignment="1">
      <alignment horizontal="center" vertical="center" wrapText="1"/>
      <protection/>
    </xf>
    <xf numFmtId="0" fontId="5" fillId="0" borderId="10" xfId="60" applyFont="1" applyFill="1" applyBorder="1" applyAlignment="1">
      <alignment vertical="center" wrapText="1"/>
      <protection/>
    </xf>
    <xf numFmtId="0" fontId="1" fillId="0" borderId="10" xfId="0" applyFont="1" applyFill="1" applyBorder="1" applyAlignment="1">
      <alignment vertical="top" wrapText="1"/>
    </xf>
    <xf numFmtId="180" fontId="1" fillId="0" borderId="10" xfId="0" applyNumberFormat="1" applyFont="1" applyFill="1" applyBorder="1" applyAlignment="1">
      <alignment horizontal="left" vertical="top" wrapText="1"/>
    </xf>
    <xf numFmtId="2" fontId="4" fillId="0" borderId="10" xfId="0" applyNumberFormat="1" applyFont="1" applyFill="1" applyBorder="1" applyAlignment="1">
      <alignment horizontal="center" vertical="center" wrapText="1"/>
    </xf>
    <xf numFmtId="49" fontId="4" fillId="0" borderId="10" xfId="60" applyNumberFormat="1" applyFont="1" applyFill="1" applyBorder="1" applyAlignment="1">
      <alignment horizontal="center" vertical="center" wrapText="1"/>
      <protection/>
    </xf>
    <xf numFmtId="180" fontId="5" fillId="0" borderId="10" xfId="0" applyNumberFormat="1" applyFont="1" applyFill="1" applyBorder="1" applyAlignment="1">
      <alignment horizontal="left" vertical="center" wrapText="1"/>
    </xf>
    <xf numFmtId="0" fontId="1" fillId="0" borderId="0" xfId="0" applyFont="1" applyFill="1" applyAlignment="1">
      <alignment horizontal="center"/>
    </xf>
    <xf numFmtId="0" fontId="0" fillId="0" borderId="0" xfId="0" applyAlignment="1">
      <alignment horizontal="center"/>
    </xf>
    <xf numFmtId="0" fontId="1" fillId="0" borderId="0" xfId="0" applyFont="1" applyFill="1" applyAlignment="1">
      <alignment horizontal="right"/>
    </xf>
    <xf numFmtId="0" fontId="3" fillId="0" borderId="0" xfId="0" applyFont="1" applyFill="1" applyAlignment="1">
      <alignment horizontal="right"/>
    </xf>
    <xf numFmtId="0" fontId="0" fillId="0" borderId="0" xfId="0" applyAlignment="1">
      <alignment/>
    </xf>
    <xf numFmtId="0" fontId="1" fillId="0" borderId="15" xfId="0" applyFont="1" applyFill="1" applyBorder="1" applyAlignment="1">
      <alignment horizontal="right"/>
    </xf>
    <xf numFmtId="0" fontId="0" fillId="0" borderId="15" xfId="0" applyBorder="1" applyAlignment="1">
      <alignment/>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49" fontId="2" fillId="0" borderId="0" xfId="0" applyNumberFormat="1" applyFont="1" applyFill="1" applyAlignment="1">
      <alignment horizontal="center" vertical="center" wrapText="1"/>
    </xf>
    <xf numFmtId="0" fontId="2" fillId="0" borderId="1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49" fontId="1" fillId="0" borderId="10" xfId="0" applyNumberFormat="1" applyFont="1" applyFill="1" applyBorder="1" applyAlignment="1">
      <alignment horizontal="center" vertical="center"/>
    </xf>
    <xf numFmtId="0" fontId="1" fillId="0" borderId="10" xfId="0" applyFont="1" applyFill="1" applyBorder="1" applyAlignment="1">
      <alignment horizontal="right" vertical="center"/>
    </xf>
    <xf numFmtId="49" fontId="4"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1" fillId="0" borderId="10" xfId="0" applyNumberFormat="1" applyFont="1" applyFill="1" applyBorder="1" applyAlignment="1">
      <alignment horizontal="center"/>
    </xf>
    <xf numFmtId="0" fontId="7"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xf>
    <xf numFmtId="0" fontId="7" fillId="0" borderId="10" xfId="0" applyFont="1" applyFill="1" applyBorder="1" applyAlignment="1">
      <alignment horizontal="right" vertical="center"/>
    </xf>
    <xf numFmtId="49" fontId="4" fillId="0" borderId="10" xfId="62" applyNumberFormat="1" applyFont="1" applyFill="1" applyBorder="1" applyAlignment="1">
      <alignment horizontal="center" vertical="center" wrapText="1"/>
      <protection/>
    </xf>
    <xf numFmtId="49" fontId="4" fillId="0" borderId="10" xfId="62" applyNumberFormat="1" applyFont="1" applyFill="1" applyBorder="1" applyAlignment="1">
      <alignment horizontal="center" vertical="center"/>
      <protection/>
    </xf>
    <xf numFmtId="49" fontId="1" fillId="0" borderId="10" xfId="0" applyNumberFormat="1" applyFont="1" applyFill="1" applyBorder="1" applyAlignment="1">
      <alignment horizontal="right" vertical="center"/>
    </xf>
    <xf numFmtId="0" fontId="0" fillId="0" borderId="0" xfId="0" applyAlignment="1">
      <alignment horizontal="right"/>
    </xf>
    <xf numFmtId="0" fontId="0" fillId="0" borderId="15" xfId="0" applyBorder="1" applyAlignment="1">
      <alignment horizontal="right"/>
    </xf>
    <xf numFmtId="0" fontId="2" fillId="0" borderId="0" xfId="0" applyFont="1" applyFill="1" applyAlignment="1">
      <alignment horizontal="center" wrapText="1"/>
    </xf>
    <xf numFmtId="0" fontId="0" fillId="0" borderId="0" xfId="0" applyFont="1" applyAlignment="1">
      <alignment horizontal="right"/>
    </xf>
    <xf numFmtId="49" fontId="2" fillId="0" borderId="0" xfId="0" applyNumberFormat="1" applyFont="1" applyFill="1" applyAlignment="1">
      <alignment horizontal="center" wrapText="1"/>
    </xf>
    <xf numFmtId="0" fontId="6" fillId="0" borderId="12" xfId="0" applyFont="1" applyFill="1" applyBorder="1" applyAlignment="1">
      <alignment horizontal="center" vertical="center" wrapText="1"/>
    </xf>
    <xf numFmtId="0" fontId="6" fillId="0" borderId="0" xfId="0" applyFont="1" applyFill="1" applyAlignment="1">
      <alignment horizontal="center" vertical="center" wrapText="1"/>
    </xf>
    <xf numFmtId="0" fontId="3" fillId="0" borderId="0" xfId="0" applyFont="1" applyFill="1" applyAlignment="1">
      <alignment horizontal="center"/>
    </xf>
    <xf numFmtId="0" fontId="2" fillId="0" borderId="0" xfId="0" applyFont="1" applyFill="1" applyAlignment="1">
      <alignment horizontal="center" vertical="center" wrapText="1"/>
    </xf>
    <xf numFmtId="0" fontId="1" fillId="0" borderId="14" xfId="0" applyFont="1" applyFill="1" applyBorder="1" applyAlignment="1">
      <alignment horizontal="right" vertical="center"/>
    </xf>
    <xf numFmtId="0" fontId="1" fillId="0" borderId="16" xfId="0" applyFont="1" applyFill="1" applyBorder="1" applyAlignment="1">
      <alignment horizontal="right" vertical="center"/>
    </xf>
    <xf numFmtId="49" fontId="2" fillId="0" borderId="14"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0" fontId="4" fillId="0" borderId="15" xfId="0" applyFont="1" applyFill="1" applyBorder="1" applyAlignment="1">
      <alignment horizontal="right"/>
    </xf>
  </cellXfs>
  <cellStyles count="65">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prastas 2" xfId="42"/>
    <cellStyle name="Įprastas 3" xfId="43"/>
    <cellStyle name="Įprastas 4" xfId="44"/>
    <cellStyle name="Įprastas 5" xfId="45"/>
    <cellStyle name="Įspėjimo tekstas" xfId="46"/>
    <cellStyle name="Išvestis" xfId="47"/>
    <cellStyle name="Įvestis" xfId="48"/>
    <cellStyle name="Comma" xfId="49"/>
    <cellStyle name="Comma [0]" xfId="50"/>
    <cellStyle name="Kablelis 2" xfId="51"/>
    <cellStyle name="Kablelis 2 2" xfId="52"/>
    <cellStyle name="Kablelis 3" xfId="53"/>
    <cellStyle name="Kablelis 4" xfId="54"/>
    <cellStyle name="Kablelis 5" xfId="55"/>
    <cellStyle name="Neutralus" xfId="56"/>
    <cellStyle name="Normal 2" xfId="57"/>
    <cellStyle name="Normal 3" xfId="58"/>
    <cellStyle name="Normal_biudžetas 6" xfId="59"/>
    <cellStyle name="Normal_biudžetas 6_2009 m 02 men biudzetas." xfId="60"/>
    <cellStyle name="Normal_Sheet1" xfId="61"/>
    <cellStyle name="Normal_Sheet1_2009 m 02 men biudzetas." xfId="62"/>
    <cellStyle name="Paprastas 2" xfId="63"/>
    <cellStyle name="Paryškinimas 1" xfId="64"/>
    <cellStyle name="Paryškinimas 2" xfId="65"/>
    <cellStyle name="Paryškinimas 3" xfId="66"/>
    <cellStyle name="Paryškinimas 4" xfId="67"/>
    <cellStyle name="Paryškinimas 5" xfId="68"/>
    <cellStyle name="Paryškinimas 6" xfId="69"/>
    <cellStyle name="Pastaba" xfId="70"/>
    <cellStyle name="Pavadinimas" xfId="71"/>
    <cellStyle name="Percent" xfId="72"/>
    <cellStyle name="Skaičiavimas" xfId="73"/>
    <cellStyle name="Suma" xfId="74"/>
    <cellStyle name="Susietas langelis" xfId="75"/>
    <cellStyle name="Tikrinimo langelis" xfId="76"/>
    <cellStyle name="Currency" xfId="77"/>
    <cellStyle name="Currency [0]"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437"/>
  <sheetViews>
    <sheetView tabSelected="1" zoomScalePageLayoutView="0" workbookViewId="0" topLeftCell="A1">
      <selection activeCell="C69" sqref="A69:IV78"/>
    </sheetView>
  </sheetViews>
  <sheetFormatPr defaultColWidth="9.140625" defaultRowHeight="12.75"/>
  <cols>
    <col min="1" max="1" width="4.8515625" style="58" customWidth="1"/>
    <col min="2" max="2" width="4.421875" style="2" customWidth="1"/>
    <col min="3" max="3" width="61.140625" style="2" customWidth="1"/>
    <col min="4" max="4" width="9.57421875" style="3" customWidth="1"/>
    <col min="5" max="5" width="8.140625" style="2" customWidth="1"/>
    <col min="6" max="6" width="8.421875" style="2" customWidth="1"/>
    <col min="7" max="8" width="8.140625" style="2" customWidth="1"/>
    <col min="9" max="9" width="7.57421875" style="2" customWidth="1"/>
    <col min="10" max="10" width="8.140625" style="2" customWidth="1"/>
    <col min="11" max="11" width="7.57421875" style="2" customWidth="1"/>
    <col min="12" max="12" width="7.8515625" style="4" customWidth="1"/>
    <col min="13" max="13" width="6.140625" style="2" customWidth="1"/>
    <col min="14" max="14" width="5.421875" style="2" customWidth="1"/>
    <col min="15" max="16384" width="9.140625" style="2" customWidth="1"/>
  </cols>
  <sheetData>
    <row r="1" spans="8:12" ht="12.75">
      <c r="H1" s="214" t="s">
        <v>654</v>
      </c>
      <c r="I1" s="215"/>
      <c r="J1" s="215"/>
      <c r="K1" s="215"/>
      <c r="L1" s="215"/>
    </row>
    <row r="2" spans="8:12" ht="12.75">
      <c r="H2" s="214" t="s">
        <v>656</v>
      </c>
      <c r="I2" s="215"/>
      <c r="J2" s="215"/>
      <c r="K2" s="215"/>
      <c r="L2" s="215"/>
    </row>
    <row r="3" spans="2:12" ht="14.25" customHeight="1">
      <c r="B3" s="36"/>
      <c r="E3" s="216" t="s">
        <v>655</v>
      </c>
      <c r="F3" s="217"/>
      <c r="G3" s="217"/>
      <c r="H3" s="217"/>
      <c r="I3" s="217"/>
      <c r="J3" s="217"/>
      <c r="K3" s="217"/>
      <c r="L3" s="218"/>
    </row>
    <row r="4" spans="1:12" ht="25.5" customHeight="1">
      <c r="A4" s="225" t="s">
        <v>288</v>
      </c>
      <c r="B4" s="225"/>
      <c r="C4" s="225"/>
      <c r="D4" s="225"/>
      <c r="E4" s="225"/>
      <c r="F4" s="225"/>
      <c r="G4" s="225"/>
      <c r="H4" s="225"/>
      <c r="I4" s="225"/>
      <c r="J4" s="225"/>
      <c r="K4" s="225"/>
      <c r="L4" s="2"/>
    </row>
    <row r="5" spans="2:12" ht="12.75">
      <c r="B5" s="36"/>
      <c r="E5" s="5"/>
      <c r="F5" s="5"/>
      <c r="G5" s="5"/>
      <c r="H5" s="5"/>
      <c r="I5" s="219" t="s">
        <v>256</v>
      </c>
      <c r="J5" s="219"/>
      <c r="K5" s="219"/>
      <c r="L5" s="220"/>
    </row>
    <row r="6" spans="1:12" ht="12.75" customHeight="1">
      <c r="A6" s="234" t="s">
        <v>0</v>
      </c>
      <c r="B6" s="234" t="s">
        <v>649</v>
      </c>
      <c r="C6" s="234" t="s">
        <v>16</v>
      </c>
      <c r="D6" s="234" t="s">
        <v>100</v>
      </c>
      <c r="E6" s="234" t="s">
        <v>17</v>
      </c>
      <c r="F6" s="234"/>
      <c r="G6" s="234" t="s">
        <v>18</v>
      </c>
      <c r="H6" s="234"/>
      <c r="I6" s="234"/>
      <c r="J6" s="234"/>
      <c r="K6" s="234"/>
      <c r="L6" s="234"/>
    </row>
    <row r="7" spans="1:12" ht="12.75" customHeight="1">
      <c r="A7" s="234"/>
      <c r="B7" s="234"/>
      <c r="C7" s="234"/>
      <c r="D7" s="234"/>
      <c r="E7" s="234"/>
      <c r="F7" s="234"/>
      <c r="G7" s="234" t="s">
        <v>156</v>
      </c>
      <c r="H7" s="234"/>
      <c r="I7" s="234"/>
      <c r="J7" s="234"/>
      <c r="K7" s="234" t="s">
        <v>29</v>
      </c>
      <c r="L7" s="234"/>
    </row>
    <row r="8" spans="1:12" ht="29.25" customHeight="1">
      <c r="A8" s="234"/>
      <c r="B8" s="234"/>
      <c r="C8" s="234"/>
      <c r="D8" s="234"/>
      <c r="E8" s="234" t="s">
        <v>650</v>
      </c>
      <c r="F8" s="234" t="s">
        <v>651</v>
      </c>
      <c r="G8" s="234" t="s">
        <v>650</v>
      </c>
      <c r="H8" s="234" t="s">
        <v>651</v>
      </c>
      <c r="I8" s="234" t="s">
        <v>30</v>
      </c>
      <c r="J8" s="234"/>
      <c r="K8" s="234" t="s">
        <v>650</v>
      </c>
      <c r="L8" s="234" t="s">
        <v>651</v>
      </c>
    </row>
    <row r="9" spans="1:12" ht="12.75">
      <c r="A9" s="234"/>
      <c r="B9" s="234"/>
      <c r="C9" s="234"/>
      <c r="D9" s="234"/>
      <c r="E9" s="234"/>
      <c r="F9" s="234"/>
      <c r="G9" s="234"/>
      <c r="H9" s="234"/>
      <c r="I9" s="6" t="s">
        <v>650</v>
      </c>
      <c r="J9" s="6" t="s">
        <v>651</v>
      </c>
      <c r="K9" s="234"/>
      <c r="L9" s="234"/>
    </row>
    <row r="10" spans="1:12" ht="12.75">
      <c r="A10" s="6">
        <v>1</v>
      </c>
      <c r="B10" s="6">
        <v>2</v>
      </c>
      <c r="C10" s="6">
        <v>3</v>
      </c>
      <c r="D10" s="6">
        <v>4</v>
      </c>
      <c r="E10" s="6">
        <v>5</v>
      </c>
      <c r="F10" s="6">
        <v>6</v>
      </c>
      <c r="G10" s="6">
        <v>7</v>
      </c>
      <c r="H10" s="6">
        <v>8</v>
      </c>
      <c r="I10" s="6">
        <v>9</v>
      </c>
      <c r="J10" s="6">
        <v>10</v>
      </c>
      <c r="K10" s="6">
        <v>11</v>
      </c>
      <c r="L10" s="31">
        <v>12</v>
      </c>
    </row>
    <row r="11" spans="1:14" ht="15.75" customHeight="1">
      <c r="A11" s="55">
        <v>1</v>
      </c>
      <c r="B11" s="7" t="s">
        <v>101</v>
      </c>
      <c r="C11" s="50" t="s">
        <v>102</v>
      </c>
      <c r="D11" s="8"/>
      <c r="E11" s="117">
        <f aca="true" t="shared" si="0" ref="E11:F99">+G11+K11</f>
        <v>9553.6</v>
      </c>
      <c r="F11" s="117">
        <f t="shared" si="0"/>
        <v>9488.1</v>
      </c>
      <c r="G11" s="117">
        <f aca="true" t="shared" si="1" ref="G11:L11">+G12+G15+G18+G21+G24+G27+G31+G34+G37+G41+G45+G49+G53+G56+G59+G62+G66+G69+G72+G76+G79+G82+G86+G89+G92+G94+G96+G98+G100+G105+G108+G111</f>
        <v>9182.800000000001</v>
      </c>
      <c r="H11" s="117">
        <f t="shared" si="1"/>
        <v>9158.9</v>
      </c>
      <c r="I11" s="117">
        <f t="shared" si="1"/>
        <v>5285.300000000002</v>
      </c>
      <c r="J11" s="117">
        <f t="shared" si="1"/>
        <v>5275.900000000002</v>
      </c>
      <c r="K11" s="117">
        <f t="shared" si="1"/>
        <v>370.8</v>
      </c>
      <c r="L11" s="117">
        <f t="shared" si="1"/>
        <v>329.2</v>
      </c>
      <c r="M11" s="1"/>
      <c r="N11" s="1"/>
    </row>
    <row r="12" spans="1:14" ht="15" customHeight="1">
      <c r="A12" s="232">
        <v>2</v>
      </c>
      <c r="B12" s="231"/>
      <c r="C12" s="66" t="s">
        <v>181</v>
      </c>
      <c r="D12" s="235" t="s">
        <v>217</v>
      </c>
      <c r="E12" s="199">
        <f t="shared" si="0"/>
        <v>298.7</v>
      </c>
      <c r="F12" s="199">
        <f t="shared" si="0"/>
        <v>298.6</v>
      </c>
      <c r="G12" s="153">
        <f>281.4+G14+G13-0.5+3.7</f>
        <v>295.59999999999997</v>
      </c>
      <c r="H12" s="153">
        <v>295.5</v>
      </c>
      <c r="I12" s="153">
        <f>189.9+I14+I13</f>
        <v>198.3</v>
      </c>
      <c r="J12" s="153">
        <v>198.3</v>
      </c>
      <c r="K12" s="153">
        <f>0.5+2.6</f>
        <v>3.1</v>
      </c>
      <c r="L12" s="143">
        <v>3.1</v>
      </c>
      <c r="M12" s="1"/>
      <c r="N12" s="1"/>
    </row>
    <row r="13" spans="1:14" ht="15" customHeight="1">
      <c r="A13" s="232"/>
      <c r="B13" s="231"/>
      <c r="C13" s="200" t="s">
        <v>420</v>
      </c>
      <c r="D13" s="235"/>
      <c r="E13" s="199">
        <f t="shared" si="0"/>
        <v>7.7</v>
      </c>
      <c r="F13" s="199">
        <f t="shared" si="0"/>
        <v>7.7</v>
      </c>
      <c r="G13" s="153">
        <v>7.7</v>
      </c>
      <c r="H13" s="153">
        <v>7.7</v>
      </c>
      <c r="I13" s="153">
        <v>5.9</v>
      </c>
      <c r="J13" s="153">
        <v>5.9</v>
      </c>
      <c r="K13" s="153"/>
      <c r="L13" s="143"/>
      <c r="M13" s="1"/>
      <c r="N13" s="1"/>
    </row>
    <row r="14" spans="1:14" ht="15" customHeight="1">
      <c r="A14" s="232"/>
      <c r="B14" s="231"/>
      <c r="C14" s="200" t="s">
        <v>407</v>
      </c>
      <c r="D14" s="235"/>
      <c r="E14" s="199">
        <f t="shared" si="0"/>
        <v>3.3</v>
      </c>
      <c r="F14" s="199">
        <f t="shared" si="0"/>
        <v>3.3</v>
      </c>
      <c r="G14" s="153">
        <v>3.3</v>
      </c>
      <c r="H14" s="153">
        <v>3.3</v>
      </c>
      <c r="I14" s="153">
        <v>2.5</v>
      </c>
      <c r="J14" s="153">
        <v>2.5</v>
      </c>
      <c r="K14" s="153"/>
      <c r="L14" s="143"/>
      <c r="M14" s="1"/>
      <c r="N14" s="1"/>
    </row>
    <row r="15" spans="1:14" ht="15" customHeight="1">
      <c r="A15" s="232">
        <v>3</v>
      </c>
      <c r="B15" s="231"/>
      <c r="C15" s="66" t="s">
        <v>95</v>
      </c>
      <c r="D15" s="233" t="s">
        <v>103</v>
      </c>
      <c r="E15" s="199">
        <f t="shared" si="0"/>
        <v>308.5</v>
      </c>
      <c r="F15" s="199">
        <f t="shared" si="0"/>
        <v>308.5</v>
      </c>
      <c r="G15" s="153">
        <f>292.7+G17+G16+5.8</f>
        <v>308.5</v>
      </c>
      <c r="H15" s="153">
        <v>308.5</v>
      </c>
      <c r="I15" s="153">
        <f>197.1+I17+I16+1.9</f>
        <v>206.7</v>
      </c>
      <c r="J15" s="153">
        <v>206.7</v>
      </c>
      <c r="K15" s="153"/>
      <c r="L15" s="143"/>
      <c r="M15" s="1"/>
      <c r="N15" s="1"/>
    </row>
    <row r="16" spans="1:14" ht="15" customHeight="1">
      <c r="A16" s="232"/>
      <c r="B16" s="231"/>
      <c r="C16" s="200" t="s">
        <v>420</v>
      </c>
      <c r="D16" s="233"/>
      <c r="E16" s="199">
        <f t="shared" si="0"/>
        <v>6</v>
      </c>
      <c r="F16" s="199">
        <f t="shared" si="0"/>
        <v>6</v>
      </c>
      <c r="G16" s="153">
        <v>6</v>
      </c>
      <c r="H16" s="153">
        <v>6</v>
      </c>
      <c r="I16" s="153">
        <v>4.6</v>
      </c>
      <c r="J16" s="153">
        <v>4.6</v>
      </c>
      <c r="K16" s="153"/>
      <c r="L16" s="143"/>
      <c r="M16" s="1"/>
      <c r="N16" s="1"/>
    </row>
    <row r="17" spans="1:14" ht="15" customHeight="1">
      <c r="A17" s="232"/>
      <c r="B17" s="231"/>
      <c r="C17" s="200" t="s">
        <v>407</v>
      </c>
      <c r="D17" s="233"/>
      <c r="E17" s="199">
        <f t="shared" si="0"/>
        <v>4</v>
      </c>
      <c r="F17" s="199">
        <f t="shared" si="0"/>
        <v>4</v>
      </c>
      <c r="G17" s="153">
        <v>4</v>
      </c>
      <c r="H17" s="153">
        <v>4</v>
      </c>
      <c r="I17" s="153">
        <v>3.1</v>
      </c>
      <c r="J17" s="153">
        <v>3.1</v>
      </c>
      <c r="K17" s="153"/>
      <c r="L17" s="143"/>
      <c r="M17" s="1"/>
      <c r="N17" s="1"/>
    </row>
    <row r="18" spans="1:14" ht="15" customHeight="1">
      <c r="A18" s="232">
        <v>4</v>
      </c>
      <c r="B18" s="231"/>
      <c r="C18" s="66" t="s">
        <v>615</v>
      </c>
      <c r="D18" s="233" t="s">
        <v>104</v>
      </c>
      <c r="E18" s="199">
        <f t="shared" si="0"/>
        <v>274.70000000000005</v>
      </c>
      <c r="F18" s="199">
        <f t="shared" si="0"/>
        <v>274.7</v>
      </c>
      <c r="G18" s="153">
        <f>253.6+G20+G19+3.6-1+6.6</f>
        <v>273.70000000000005</v>
      </c>
      <c r="H18" s="153">
        <v>273.7</v>
      </c>
      <c r="I18" s="153">
        <f>167.6+I20+I19+2.7-5.5</f>
        <v>173.2</v>
      </c>
      <c r="J18" s="153">
        <v>173.2</v>
      </c>
      <c r="K18" s="153">
        <v>1</v>
      </c>
      <c r="L18" s="143">
        <v>1</v>
      </c>
      <c r="M18" s="1"/>
      <c r="N18" s="1"/>
    </row>
    <row r="19" spans="1:14" ht="15" customHeight="1">
      <c r="A19" s="232"/>
      <c r="B19" s="231"/>
      <c r="C19" s="200" t="s">
        <v>420</v>
      </c>
      <c r="D19" s="233"/>
      <c r="E19" s="199">
        <f t="shared" si="0"/>
        <v>6.9</v>
      </c>
      <c r="F19" s="199">
        <f t="shared" si="0"/>
        <v>6.9</v>
      </c>
      <c r="G19" s="153">
        <v>6.9</v>
      </c>
      <c r="H19" s="153">
        <v>6.9</v>
      </c>
      <c r="I19" s="153">
        <v>5.3</v>
      </c>
      <c r="J19" s="153">
        <v>5.3</v>
      </c>
      <c r="K19" s="153"/>
      <c r="L19" s="143"/>
      <c r="M19" s="1"/>
      <c r="N19" s="1"/>
    </row>
    <row r="20" spans="1:14" ht="15" customHeight="1">
      <c r="A20" s="232"/>
      <c r="B20" s="231"/>
      <c r="C20" s="200" t="s">
        <v>407</v>
      </c>
      <c r="D20" s="233"/>
      <c r="E20" s="199">
        <f t="shared" si="0"/>
        <v>4</v>
      </c>
      <c r="F20" s="199">
        <f t="shared" si="0"/>
        <v>4</v>
      </c>
      <c r="G20" s="153">
        <v>4</v>
      </c>
      <c r="H20" s="153">
        <v>4</v>
      </c>
      <c r="I20" s="153">
        <v>3.1</v>
      </c>
      <c r="J20" s="153">
        <v>3.1</v>
      </c>
      <c r="K20" s="153"/>
      <c r="L20" s="143"/>
      <c r="M20" s="1"/>
      <c r="N20" s="1"/>
    </row>
    <row r="21" spans="1:14" ht="15" customHeight="1">
      <c r="A21" s="232">
        <v>5</v>
      </c>
      <c r="B21" s="231"/>
      <c r="C21" s="66" t="s">
        <v>616</v>
      </c>
      <c r="D21" s="233" t="s">
        <v>104</v>
      </c>
      <c r="E21" s="199">
        <f t="shared" si="0"/>
        <v>265.7</v>
      </c>
      <c r="F21" s="199">
        <f t="shared" si="0"/>
        <v>265.7</v>
      </c>
      <c r="G21" s="153">
        <f>246.8+G23+G22+0.5+6.9</f>
        <v>265.7</v>
      </c>
      <c r="H21" s="153">
        <v>265.7</v>
      </c>
      <c r="I21" s="153">
        <f>157.8+I23+I22+0.4-3.4</f>
        <v>163.60000000000002</v>
      </c>
      <c r="J21" s="153">
        <v>163.6</v>
      </c>
      <c r="K21" s="153"/>
      <c r="L21" s="143"/>
      <c r="M21" s="1"/>
      <c r="N21" s="1"/>
    </row>
    <row r="22" spans="1:14" ht="15" customHeight="1">
      <c r="A22" s="232"/>
      <c r="B22" s="231"/>
      <c r="C22" s="200" t="s">
        <v>420</v>
      </c>
      <c r="D22" s="233"/>
      <c r="E22" s="199">
        <f t="shared" si="0"/>
        <v>6.4</v>
      </c>
      <c r="F22" s="199">
        <f t="shared" si="0"/>
        <v>6.4</v>
      </c>
      <c r="G22" s="153">
        <v>6.4</v>
      </c>
      <c r="H22" s="153">
        <v>6.4</v>
      </c>
      <c r="I22" s="153">
        <v>4.9</v>
      </c>
      <c r="J22" s="153">
        <v>4.9</v>
      </c>
      <c r="K22" s="153"/>
      <c r="L22" s="143"/>
      <c r="M22" s="1"/>
      <c r="N22" s="1"/>
    </row>
    <row r="23" spans="1:14" ht="15" customHeight="1">
      <c r="A23" s="232"/>
      <c r="B23" s="231"/>
      <c r="C23" s="200" t="s">
        <v>407</v>
      </c>
      <c r="D23" s="233"/>
      <c r="E23" s="199">
        <f t="shared" si="0"/>
        <v>5.1</v>
      </c>
      <c r="F23" s="199">
        <f t="shared" si="0"/>
        <v>5.1</v>
      </c>
      <c r="G23" s="153">
        <v>5.1</v>
      </c>
      <c r="H23" s="153">
        <v>5.1</v>
      </c>
      <c r="I23" s="153">
        <v>3.9</v>
      </c>
      <c r="J23" s="153">
        <v>3.9</v>
      </c>
      <c r="K23" s="153"/>
      <c r="L23" s="143"/>
      <c r="M23" s="1"/>
      <c r="N23" s="1"/>
    </row>
    <row r="24" spans="1:14" ht="15" customHeight="1">
      <c r="A24" s="232">
        <v>6</v>
      </c>
      <c r="B24" s="231"/>
      <c r="C24" s="66" t="s">
        <v>74</v>
      </c>
      <c r="D24" s="233" t="s">
        <v>103</v>
      </c>
      <c r="E24" s="199">
        <f t="shared" si="0"/>
        <v>269.4</v>
      </c>
      <c r="F24" s="199">
        <f t="shared" si="0"/>
        <v>269.4</v>
      </c>
      <c r="G24" s="153">
        <f>249.2+G26+G25+7.1</f>
        <v>269.4</v>
      </c>
      <c r="H24" s="153">
        <v>269.4</v>
      </c>
      <c r="I24" s="153">
        <f>162+I26+I25-1</f>
        <v>171</v>
      </c>
      <c r="J24" s="153">
        <v>171</v>
      </c>
      <c r="K24" s="153"/>
      <c r="L24" s="143"/>
      <c r="M24" s="1"/>
      <c r="N24" s="1"/>
    </row>
    <row r="25" spans="1:14" ht="15" customHeight="1">
      <c r="A25" s="232"/>
      <c r="B25" s="231"/>
      <c r="C25" s="200" t="s">
        <v>420</v>
      </c>
      <c r="D25" s="233"/>
      <c r="E25" s="199">
        <f t="shared" si="0"/>
        <v>8</v>
      </c>
      <c r="F25" s="199">
        <f t="shared" si="0"/>
        <v>8</v>
      </c>
      <c r="G25" s="153">
        <v>8</v>
      </c>
      <c r="H25" s="153">
        <v>8</v>
      </c>
      <c r="I25" s="153">
        <v>6.1</v>
      </c>
      <c r="J25" s="153">
        <v>6.1</v>
      </c>
      <c r="K25" s="153"/>
      <c r="L25" s="143"/>
      <c r="M25" s="1"/>
      <c r="N25" s="1"/>
    </row>
    <row r="26" spans="1:14" ht="15" customHeight="1">
      <c r="A26" s="232"/>
      <c r="B26" s="231"/>
      <c r="C26" s="200" t="s">
        <v>407</v>
      </c>
      <c r="D26" s="233"/>
      <c r="E26" s="199">
        <f t="shared" si="0"/>
        <v>5.1</v>
      </c>
      <c r="F26" s="199">
        <f t="shared" si="0"/>
        <v>5.1</v>
      </c>
      <c r="G26" s="153">
        <v>5.1</v>
      </c>
      <c r="H26" s="153">
        <v>5.1</v>
      </c>
      <c r="I26" s="153">
        <v>3.9</v>
      </c>
      <c r="J26" s="153">
        <v>3.9</v>
      </c>
      <c r="K26" s="153"/>
      <c r="L26" s="143"/>
      <c r="M26" s="1"/>
      <c r="N26" s="1"/>
    </row>
    <row r="27" spans="1:14" ht="15" customHeight="1">
      <c r="A27" s="232">
        <v>7</v>
      </c>
      <c r="B27" s="231"/>
      <c r="C27" s="66" t="s">
        <v>75</v>
      </c>
      <c r="D27" s="233" t="s">
        <v>103</v>
      </c>
      <c r="E27" s="199">
        <f t="shared" si="0"/>
        <v>325.2</v>
      </c>
      <c r="F27" s="199">
        <f t="shared" si="0"/>
        <v>317.3</v>
      </c>
      <c r="G27" s="153">
        <f>299.7+G30+G29+G28-5.1+6.1+7.5</f>
        <v>325.2</v>
      </c>
      <c r="H27" s="153">
        <v>317.3</v>
      </c>
      <c r="I27" s="153">
        <f>200.8+I30+I29+I28-3.9+4.7</f>
        <v>214.6</v>
      </c>
      <c r="J27" s="153">
        <v>208.6</v>
      </c>
      <c r="K27" s="153"/>
      <c r="L27" s="143"/>
      <c r="M27" s="1"/>
      <c r="N27" s="1"/>
    </row>
    <row r="28" spans="1:14" ht="15" customHeight="1">
      <c r="A28" s="232"/>
      <c r="B28" s="231"/>
      <c r="C28" s="200" t="s">
        <v>420</v>
      </c>
      <c r="D28" s="233"/>
      <c r="E28" s="199">
        <f t="shared" si="0"/>
        <v>7.1</v>
      </c>
      <c r="F28" s="199">
        <f t="shared" si="0"/>
        <v>7.1</v>
      </c>
      <c r="G28" s="153">
        <v>7.1</v>
      </c>
      <c r="H28" s="153">
        <v>7.1</v>
      </c>
      <c r="I28" s="153">
        <v>5.4</v>
      </c>
      <c r="J28" s="153">
        <v>5.4</v>
      </c>
      <c r="K28" s="153"/>
      <c r="L28" s="143"/>
      <c r="M28" s="1"/>
      <c r="N28" s="1"/>
    </row>
    <row r="29" spans="1:14" ht="18.75" customHeight="1">
      <c r="A29" s="232"/>
      <c r="B29" s="231"/>
      <c r="C29" s="200" t="s">
        <v>419</v>
      </c>
      <c r="D29" s="233"/>
      <c r="E29" s="199">
        <f t="shared" si="0"/>
        <v>5.2</v>
      </c>
      <c r="F29" s="201">
        <v>0</v>
      </c>
      <c r="G29" s="153">
        <v>5.2</v>
      </c>
      <c r="H29" s="201">
        <v>0</v>
      </c>
      <c r="I29" s="153">
        <v>4</v>
      </c>
      <c r="J29" s="201">
        <v>0</v>
      </c>
      <c r="K29" s="153"/>
      <c r="L29" s="143"/>
      <c r="M29" s="1"/>
      <c r="N29" s="1"/>
    </row>
    <row r="30" spans="1:14" ht="15" customHeight="1">
      <c r="A30" s="232"/>
      <c r="B30" s="231"/>
      <c r="C30" s="200" t="s">
        <v>407</v>
      </c>
      <c r="D30" s="233"/>
      <c r="E30" s="199">
        <f t="shared" si="0"/>
        <v>4.7</v>
      </c>
      <c r="F30" s="199">
        <f t="shared" si="0"/>
        <v>4.7</v>
      </c>
      <c r="G30" s="153">
        <v>4.7</v>
      </c>
      <c r="H30" s="153">
        <v>4.7</v>
      </c>
      <c r="I30" s="153">
        <v>3.6</v>
      </c>
      <c r="J30" s="153">
        <v>3.6</v>
      </c>
      <c r="K30" s="153"/>
      <c r="L30" s="143"/>
      <c r="M30" s="1"/>
      <c r="N30" s="1"/>
    </row>
    <row r="31" spans="1:14" ht="15" customHeight="1">
      <c r="A31" s="232">
        <v>8</v>
      </c>
      <c r="B31" s="231"/>
      <c r="C31" s="66" t="s">
        <v>96</v>
      </c>
      <c r="D31" s="233" t="s">
        <v>103</v>
      </c>
      <c r="E31" s="199">
        <f t="shared" si="0"/>
        <v>306.1</v>
      </c>
      <c r="F31" s="199">
        <f t="shared" si="0"/>
        <v>306.1</v>
      </c>
      <c r="G31" s="153">
        <f>285.6+G33+G32+8.5</f>
        <v>306.1</v>
      </c>
      <c r="H31" s="153">
        <v>306.1</v>
      </c>
      <c r="I31" s="153">
        <f>183.8+I33+I32</f>
        <v>193.00000000000003</v>
      </c>
      <c r="J31" s="153">
        <v>193</v>
      </c>
      <c r="K31" s="153"/>
      <c r="L31" s="143"/>
      <c r="M31" s="1"/>
      <c r="N31" s="1"/>
    </row>
    <row r="32" spans="1:14" ht="19.5" customHeight="1">
      <c r="A32" s="232"/>
      <c r="B32" s="231"/>
      <c r="C32" s="200" t="s">
        <v>420</v>
      </c>
      <c r="D32" s="233"/>
      <c r="E32" s="199">
        <f t="shared" si="0"/>
        <v>7.6</v>
      </c>
      <c r="F32" s="199">
        <f t="shared" si="0"/>
        <v>7.6</v>
      </c>
      <c r="G32" s="153">
        <v>7.6</v>
      </c>
      <c r="H32" s="153">
        <v>7.6</v>
      </c>
      <c r="I32" s="153">
        <v>5.8</v>
      </c>
      <c r="J32" s="153">
        <v>5.8</v>
      </c>
      <c r="K32" s="153"/>
      <c r="L32" s="143"/>
      <c r="M32" s="1"/>
      <c r="N32" s="1"/>
    </row>
    <row r="33" spans="1:14" ht="18" customHeight="1">
      <c r="A33" s="232"/>
      <c r="B33" s="231"/>
      <c r="C33" s="200" t="s">
        <v>407</v>
      </c>
      <c r="D33" s="233"/>
      <c r="E33" s="199">
        <f t="shared" si="0"/>
        <v>4.4</v>
      </c>
      <c r="F33" s="199">
        <f t="shared" si="0"/>
        <v>4.4</v>
      </c>
      <c r="G33" s="153">
        <v>4.4</v>
      </c>
      <c r="H33" s="153">
        <v>4.4</v>
      </c>
      <c r="I33" s="153">
        <v>3.4</v>
      </c>
      <c r="J33" s="153">
        <v>3.4</v>
      </c>
      <c r="K33" s="153"/>
      <c r="L33" s="143"/>
      <c r="M33" s="1"/>
      <c r="N33" s="1"/>
    </row>
    <row r="34" spans="1:14" ht="15" customHeight="1">
      <c r="A34" s="232">
        <v>9</v>
      </c>
      <c r="B34" s="231"/>
      <c r="C34" s="61" t="s">
        <v>84</v>
      </c>
      <c r="D34" s="233" t="s">
        <v>104</v>
      </c>
      <c r="E34" s="199">
        <f t="shared" si="0"/>
        <v>247.8</v>
      </c>
      <c r="F34" s="199">
        <f t="shared" si="0"/>
        <v>247.7</v>
      </c>
      <c r="G34" s="153">
        <f>230.9+G36+G35+3.3</f>
        <v>244.8</v>
      </c>
      <c r="H34" s="153">
        <v>244.7</v>
      </c>
      <c r="I34" s="153">
        <f>150.1+I36+I35</f>
        <v>158.2</v>
      </c>
      <c r="J34" s="153">
        <v>158.2</v>
      </c>
      <c r="K34" s="153">
        <v>3</v>
      </c>
      <c r="L34" s="143">
        <v>3</v>
      </c>
      <c r="M34" s="1"/>
      <c r="N34" s="1"/>
    </row>
    <row r="35" spans="1:14" ht="15" customHeight="1">
      <c r="A35" s="232"/>
      <c r="B35" s="231"/>
      <c r="C35" s="200" t="s">
        <v>420</v>
      </c>
      <c r="D35" s="233"/>
      <c r="E35" s="199">
        <f t="shared" si="0"/>
        <v>5.4</v>
      </c>
      <c r="F35" s="199">
        <f t="shared" si="0"/>
        <v>5.4</v>
      </c>
      <c r="G35" s="153">
        <v>5.4</v>
      </c>
      <c r="H35" s="153">
        <v>5.4</v>
      </c>
      <c r="I35" s="153">
        <v>4.1</v>
      </c>
      <c r="J35" s="153">
        <v>4.1</v>
      </c>
      <c r="K35" s="153"/>
      <c r="L35" s="143"/>
      <c r="M35" s="1"/>
      <c r="N35" s="1"/>
    </row>
    <row r="36" spans="1:14" ht="18" customHeight="1">
      <c r="A36" s="232"/>
      <c r="B36" s="231"/>
      <c r="C36" s="200" t="s">
        <v>407</v>
      </c>
      <c r="D36" s="233"/>
      <c r="E36" s="199">
        <f t="shared" si="0"/>
        <v>5.2</v>
      </c>
      <c r="F36" s="199">
        <f t="shared" si="0"/>
        <v>5.2</v>
      </c>
      <c r="G36" s="153">
        <v>5.2</v>
      </c>
      <c r="H36" s="153">
        <v>5.2</v>
      </c>
      <c r="I36" s="153">
        <v>4</v>
      </c>
      <c r="J36" s="153">
        <v>4</v>
      </c>
      <c r="K36" s="153"/>
      <c r="L36" s="143"/>
      <c r="M36" s="1"/>
      <c r="N36" s="1"/>
    </row>
    <row r="37" spans="1:14" ht="15" customHeight="1">
      <c r="A37" s="232">
        <v>10</v>
      </c>
      <c r="B37" s="231"/>
      <c r="C37" s="66" t="s">
        <v>77</v>
      </c>
      <c r="D37" s="233" t="s">
        <v>105</v>
      </c>
      <c r="E37" s="199">
        <f aca="true" t="shared" si="2" ref="E37:F40">+G37+K37</f>
        <v>300.9</v>
      </c>
      <c r="F37" s="199">
        <f t="shared" si="2"/>
        <v>296.8</v>
      </c>
      <c r="G37" s="153">
        <f>245.3+G40+G39+G38+16</f>
        <v>299.4</v>
      </c>
      <c r="H37" s="153">
        <v>295.3</v>
      </c>
      <c r="I37" s="153">
        <f>141.9+I40+I39+I38</f>
        <v>171</v>
      </c>
      <c r="J37" s="153">
        <v>168</v>
      </c>
      <c r="K37" s="153">
        <v>1.5</v>
      </c>
      <c r="L37" s="143">
        <v>1.5</v>
      </c>
      <c r="M37" s="1"/>
      <c r="N37" s="1"/>
    </row>
    <row r="38" spans="1:14" ht="15" customHeight="1">
      <c r="A38" s="232"/>
      <c r="B38" s="231"/>
      <c r="C38" s="200" t="s">
        <v>420</v>
      </c>
      <c r="D38" s="233"/>
      <c r="E38" s="199">
        <f t="shared" si="2"/>
        <v>4.7</v>
      </c>
      <c r="F38" s="199">
        <f t="shared" si="2"/>
        <v>4.7</v>
      </c>
      <c r="G38" s="153">
        <v>4.7</v>
      </c>
      <c r="H38" s="153">
        <v>4.7</v>
      </c>
      <c r="I38" s="153">
        <v>3.6</v>
      </c>
      <c r="J38" s="153">
        <v>3.6</v>
      </c>
      <c r="K38" s="153"/>
      <c r="L38" s="143"/>
      <c r="M38" s="1"/>
      <c r="N38" s="1"/>
    </row>
    <row r="39" spans="1:14" ht="15" customHeight="1">
      <c r="A39" s="232"/>
      <c r="B39" s="231"/>
      <c r="C39" s="200" t="s">
        <v>419</v>
      </c>
      <c r="D39" s="233"/>
      <c r="E39" s="199">
        <f t="shared" si="2"/>
        <v>10.4</v>
      </c>
      <c r="F39" s="199">
        <f t="shared" si="2"/>
        <v>6.4</v>
      </c>
      <c r="G39" s="153">
        <v>10.4</v>
      </c>
      <c r="H39" s="153">
        <v>6.4</v>
      </c>
      <c r="I39" s="153">
        <v>7.9</v>
      </c>
      <c r="J39" s="153">
        <v>4.9</v>
      </c>
      <c r="K39" s="153"/>
      <c r="L39" s="143"/>
      <c r="M39" s="1"/>
      <c r="N39" s="1"/>
    </row>
    <row r="40" spans="1:14" ht="15" customHeight="1">
      <c r="A40" s="232"/>
      <c r="B40" s="231"/>
      <c r="C40" s="200" t="s">
        <v>407</v>
      </c>
      <c r="D40" s="233"/>
      <c r="E40" s="199">
        <f t="shared" si="2"/>
        <v>23</v>
      </c>
      <c r="F40" s="199">
        <f t="shared" si="2"/>
        <v>23</v>
      </c>
      <c r="G40" s="153">
        <v>23</v>
      </c>
      <c r="H40" s="153">
        <v>23</v>
      </c>
      <c r="I40" s="153">
        <v>17.6</v>
      </c>
      <c r="J40" s="153">
        <v>17.6</v>
      </c>
      <c r="K40" s="153"/>
      <c r="L40" s="143"/>
      <c r="M40" s="1"/>
      <c r="N40" s="1"/>
    </row>
    <row r="41" spans="1:14" ht="15" customHeight="1">
      <c r="A41" s="232">
        <v>11</v>
      </c>
      <c r="B41" s="231"/>
      <c r="C41" s="66" t="s">
        <v>85</v>
      </c>
      <c r="D41" s="235" t="s">
        <v>218</v>
      </c>
      <c r="E41" s="199">
        <f t="shared" si="0"/>
        <v>229.90000000000003</v>
      </c>
      <c r="F41" s="199">
        <f t="shared" si="0"/>
        <v>229.6</v>
      </c>
      <c r="G41" s="153">
        <f>186.9+G44+G43+G42+0.3+13</f>
        <v>229.90000000000003</v>
      </c>
      <c r="H41" s="153">
        <v>229.6</v>
      </c>
      <c r="I41" s="153">
        <f>102.3+I44+I43+I42+0.5+4.4</f>
        <v>129.89999999999998</v>
      </c>
      <c r="J41" s="153">
        <v>129.8</v>
      </c>
      <c r="K41" s="153"/>
      <c r="L41" s="143"/>
      <c r="M41" s="1"/>
      <c r="N41" s="1"/>
    </row>
    <row r="42" spans="1:14" ht="15" customHeight="1">
      <c r="A42" s="232"/>
      <c r="B42" s="231"/>
      <c r="C42" s="200" t="s">
        <v>420</v>
      </c>
      <c r="D42" s="235"/>
      <c r="E42" s="199">
        <f t="shared" si="0"/>
        <v>5</v>
      </c>
      <c r="F42" s="199">
        <f t="shared" si="0"/>
        <v>5</v>
      </c>
      <c r="G42" s="153">
        <v>5</v>
      </c>
      <c r="H42" s="153">
        <v>5</v>
      </c>
      <c r="I42" s="153">
        <v>3.8</v>
      </c>
      <c r="J42" s="153">
        <v>3.8</v>
      </c>
      <c r="K42" s="153"/>
      <c r="L42" s="143"/>
      <c r="M42" s="1"/>
      <c r="N42" s="1"/>
    </row>
    <row r="43" spans="1:14" ht="15" customHeight="1">
      <c r="A43" s="232"/>
      <c r="B43" s="231"/>
      <c r="C43" s="200" t="s">
        <v>419</v>
      </c>
      <c r="D43" s="235"/>
      <c r="E43" s="199">
        <f t="shared" si="0"/>
        <v>6.9</v>
      </c>
      <c r="F43" s="199">
        <f t="shared" si="0"/>
        <v>6.8</v>
      </c>
      <c r="G43" s="153">
        <v>6.9</v>
      </c>
      <c r="H43" s="153">
        <v>6.8</v>
      </c>
      <c r="I43" s="153">
        <v>5.3</v>
      </c>
      <c r="J43" s="153">
        <v>5.2</v>
      </c>
      <c r="K43" s="153"/>
      <c r="L43" s="143"/>
      <c r="M43" s="1"/>
      <c r="N43" s="1"/>
    </row>
    <row r="44" spans="1:14" ht="15" customHeight="1">
      <c r="A44" s="232"/>
      <c r="B44" s="231"/>
      <c r="C44" s="200" t="s">
        <v>407</v>
      </c>
      <c r="D44" s="235"/>
      <c r="E44" s="199">
        <f t="shared" si="0"/>
        <v>17.8</v>
      </c>
      <c r="F44" s="199">
        <f t="shared" si="0"/>
        <v>17.8</v>
      </c>
      <c r="G44" s="153">
        <v>17.8</v>
      </c>
      <c r="H44" s="153">
        <v>17.8</v>
      </c>
      <c r="I44" s="153">
        <v>13.6</v>
      </c>
      <c r="J44" s="153">
        <v>13.6</v>
      </c>
      <c r="K44" s="153"/>
      <c r="L44" s="143"/>
      <c r="M44" s="1"/>
      <c r="N44" s="1"/>
    </row>
    <row r="45" spans="1:14" ht="15" customHeight="1">
      <c r="A45" s="232">
        <v>12</v>
      </c>
      <c r="B45" s="231"/>
      <c r="C45" s="61" t="s">
        <v>267</v>
      </c>
      <c r="D45" s="233" t="s">
        <v>105</v>
      </c>
      <c r="E45" s="199">
        <f t="shared" si="0"/>
        <v>484.6000000000001</v>
      </c>
      <c r="F45" s="199">
        <f t="shared" si="0"/>
        <v>484.2</v>
      </c>
      <c r="G45" s="153">
        <f>422.8+G48+G47+G46+26.5+1.6</f>
        <v>484.6000000000001</v>
      </c>
      <c r="H45" s="153">
        <v>484.2</v>
      </c>
      <c r="I45" s="153">
        <f>264.7+I48+I47+I46+5</f>
        <v>295.5</v>
      </c>
      <c r="J45" s="153">
        <v>295.5</v>
      </c>
      <c r="K45" s="153"/>
      <c r="L45" s="143"/>
      <c r="M45" s="1"/>
      <c r="N45" s="1"/>
    </row>
    <row r="46" spans="1:14" ht="15" customHeight="1">
      <c r="A46" s="232"/>
      <c r="B46" s="231"/>
      <c r="C46" s="200" t="s">
        <v>420</v>
      </c>
      <c r="D46" s="233"/>
      <c r="E46" s="199">
        <f t="shared" si="0"/>
        <v>8.3</v>
      </c>
      <c r="F46" s="199">
        <f t="shared" si="0"/>
        <v>8.3</v>
      </c>
      <c r="G46" s="153">
        <v>8.3</v>
      </c>
      <c r="H46" s="153">
        <v>8.3</v>
      </c>
      <c r="I46" s="153">
        <v>6.3</v>
      </c>
      <c r="J46" s="153">
        <v>6.3</v>
      </c>
      <c r="K46" s="153"/>
      <c r="L46" s="143"/>
      <c r="M46" s="1"/>
      <c r="N46" s="1"/>
    </row>
    <row r="47" spans="1:14" ht="15" customHeight="1">
      <c r="A47" s="232"/>
      <c r="B47" s="231"/>
      <c r="C47" s="200" t="s">
        <v>419</v>
      </c>
      <c r="D47" s="233"/>
      <c r="E47" s="199">
        <f t="shared" si="0"/>
        <v>5.8</v>
      </c>
      <c r="F47" s="199">
        <f t="shared" si="0"/>
        <v>5.8</v>
      </c>
      <c r="G47" s="153">
        <v>5.8</v>
      </c>
      <c r="H47" s="153">
        <v>5.8</v>
      </c>
      <c r="I47" s="153">
        <v>4.5</v>
      </c>
      <c r="J47" s="153">
        <v>4.5</v>
      </c>
      <c r="K47" s="153"/>
      <c r="L47" s="143"/>
      <c r="M47" s="1"/>
      <c r="N47" s="1"/>
    </row>
    <row r="48" spans="1:14" ht="15" customHeight="1">
      <c r="A48" s="232"/>
      <c r="B48" s="231"/>
      <c r="C48" s="200" t="s">
        <v>407</v>
      </c>
      <c r="D48" s="233"/>
      <c r="E48" s="199">
        <f t="shared" si="0"/>
        <v>19.6</v>
      </c>
      <c r="F48" s="199">
        <f t="shared" si="0"/>
        <v>19.6</v>
      </c>
      <c r="G48" s="153">
        <v>19.6</v>
      </c>
      <c r="H48" s="153">
        <v>19.6</v>
      </c>
      <c r="I48" s="153">
        <v>15</v>
      </c>
      <c r="J48" s="153">
        <v>15</v>
      </c>
      <c r="K48" s="153"/>
      <c r="L48" s="143"/>
      <c r="M48" s="1"/>
      <c r="N48" s="1"/>
    </row>
    <row r="49" spans="1:14" ht="15" customHeight="1">
      <c r="A49" s="232">
        <v>13</v>
      </c>
      <c r="B49" s="231"/>
      <c r="C49" s="61" t="s">
        <v>268</v>
      </c>
      <c r="D49" s="233" t="s">
        <v>105</v>
      </c>
      <c r="E49" s="199">
        <f t="shared" si="0"/>
        <v>336.7</v>
      </c>
      <c r="F49" s="199">
        <f t="shared" si="0"/>
        <v>336.4</v>
      </c>
      <c r="G49" s="153">
        <f>295.8+G52+G51+G50-1.6+19.8+0.9</f>
        <v>336.7</v>
      </c>
      <c r="H49" s="153">
        <v>336.4</v>
      </c>
      <c r="I49" s="153">
        <f>171.8+I52+I51+I50-1.2+7.4</f>
        <v>194.60000000000005</v>
      </c>
      <c r="J49" s="153">
        <v>194.6</v>
      </c>
      <c r="K49" s="153"/>
      <c r="L49" s="143"/>
      <c r="M49" s="1"/>
      <c r="N49" s="1"/>
    </row>
    <row r="50" spans="1:14" ht="15" customHeight="1">
      <c r="A50" s="232"/>
      <c r="B50" s="231"/>
      <c r="C50" s="200" t="s">
        <v>420</v>
      </c>
      <c r="D50" s="233"/>
      <c r="E50" s="199">
        <f t="shared" si="0"/>
        <v>3.7</v>
      </c>
      <c r="F50" s="199">
        <f t="shared" si="0"/>
        <v>3.7</v>
      </c>
      <c r="G50" s="153">
        <v>3.7</v>
      </c>
      <c r="H50" s="153">
        <v>3.7</v>
      </c>
      <c r="I50" s="153">
        <v>2.8</v>
      </c>
      <c r="J50" s="153">
        <v>2.8</v>
      </c>
      <c r="K50" s="153"/>
      <c r="L50" s="143"/>
      <c r="M50" s="1"/>
      <c r="N50" s="1"/>
    </row>
    <row r="51" spans="1:14" ht="15" customHeight="1">
      <c r="A51" s="232"/>
      <c r="B51" s="231"/>
      <c r="C51" s="200" t="s">
        <v>419</v>
      </c>
      <c r="D51" s="233"/>
      <c r="E51" s="199">
        <f t="shared" si="0"/>
        <v>2</v>
      </c>
      <c r="F51" s="199">
        <f t="shared" si="0"/>
        <v>2</v>
      </c>
      <c r="G51" s="153">
        <v>2</v>
      </c>
      <c r="H51" s="153">
        <v>2</v>
      </c>
      <c r="I51" s="153">
        <v>1.5</v>
      </c>
      <c r="J51" s="153">
        <v>1.5</v>
      </c>
      <c r="K51" s="153"/>
      <c r="L51" s="143"/>
      <c r="M51" s="1"/>
      <c r="N51" s="1"/>
    </row>
    <row r="52" spans="1:14" ht="15" customHeight="1">
      <c r="A52" s="232"/>
      <c r="B52" s="231"/>
      <c r="C52" s="200" t="s">
        <v>407</v>
      </c>
      <c r="D52" s="233"/>
      <c r="E52" s="199">
        <f t="shared" si="0"/>
        <v>16.1</v>
      </c>
      <c r="F52" s="199">
        <f t="shared" si="0"/>
        <v>16.1</v>
      </c>
      <c r="G52" s="153">
        <v>16.1</v>
      </c>
      <c r="H52" s="153">
        <v>16.1</v>
      </c>
      <c r="I52" s="153">
        <v>12.3</v>
      </c>
      <c r="J52" s="153">
        <v>12.3</v>
      </c>
      <c r="K52" s="153"/>
      <c r="L52" s="143"/>
      <c r="M52" s="1"/>
      <c r="N52" s="1"/>
    </row>
    <row r="53" spans="1:14" ht="15" customHeight="1">
      <c r="A53" s="232">
        <v>14</v>
      </c>
      <c r="B53" s="231"/>
      <c r="C53" s="61" t="s">
        <v>78</v>
      </c>
      <c r="D53" s="233" t="s">
        <v>105</v>
      </c>
      <c r="E53" s="199">
        <f t="shared" si="0"/>
        <v>488.59999999999997</v>
      </c>
      <c r="F53" s="199">
        <f t="shared" si="0"/>
        <v>488.2</v>
      </c>
      <c r="G53" s="153">
        <f>440+G55+G54+21.9</f>
        <v>485.2</v>
      </c>
      <c r="H53" s="153">
        <v>484.9</v>
      </c>
      <c r="I53" s="153">
        <f>275.8+I55+I54+5.3</f>
        <v>298.9</v>
      </c>
      <c r="J53" s="153">
        <v>298.9</v>
      </c>
      <c r="K53" s="153">
        <v>3.4</v>
      </c>
      <c r="L53" s="143">
        <v>3.3</v>
      </c>
      <c r="M53" s="1"/>
      <c r="N53" s="1"/>
    </row>
    <row r="54" spans="1:14" ht="15" customHeight="1">
      <c r="A54" s="232"/>
      <c r="B54" s="231"/>
      <c r="C54" s="200" t="s">
        <v>420</v>
      </c>
      <c r="D54" s="233"/>
      <c r="E54" s="199">
        <f t="shared" si="0"/>
        <v>7.7</v>
      </c>
      <c r="F54" s="199">
        <f t="shared" si="0"/>
        <v>7.7</v>
      </c>
      <c r="G54" s="153">
        <v>7.7</v>
      </c>
      <c r="H54" s="153">
        <v>7.7</v>
      </c>
      <c r="I54" s="153">
        <v>5.9</v>
      </c>
      <c r="J54" s="153">
        <v>5.9</v>
      </c>
      <c r="K54" s="153"/>
      <c r="L54" s="143"/>
      <c r="M54" s="1"/>
      <c r="N54" s="1"/>
    </row>
    <row r="55" spans="1:14" ht="15" customHeight="1">
      <c r="A55" s="232"/>
      <c r="B55" s="231"/>
      <c r="C55" s="200" t="s">
        <v>407</v>
      </c>
      <c r="D55" s="233"/>
      <c r="E55" s="199">
        <f t="shared" si="0"/>
        <v>15.6</v>
      </c>
      <c r="F55" s="199">
        <f t="shared" si="0"/>
        <v>15.6</v>
      </c>
      <c r="G55" s="153">
        <v>15.6</v>
      </c>
      <c r="H55" s="153">
        <v>15.6</v>
      </c>
      <c r="I55" s="153">
        <v>11.9</v>
      </c>
      <c r="J55" s="153">
        <v>11.9</v>
      </c>
      <c r="K55" s="153"/>
      <c r="L55" s="143"/>
      <c r="M55" s="1"/>
      <c r="N55" s="1"/>
    </row>
    <row r="56" spans="1:14" ht="15" customHeight="1">
      <c r="A56" s="232">
        <v>15</v>
      </c>
      <c r="B56" s="231"/>
      <c r="C56" s="66" t="s">
        <v>273</v>
      </c>
      <c r="D56" s="233" t="s">
        <v>105</v>
      </c>
      <c r="E56" s="199">
        <f>+G56+K56</f>
        <v>317.00000000000006</v>
      </c>
      <c r="F56" s="199">
        <f>+H56+L56</f>
        <v>317</v>
      </c>
      <c r="G56" s="153">
        <f>283.1-47.2+G58+G57+14.2</f>
        <v>266.70000000000005</v>
      </c>
      <c r="H56" s="153">
        <v>266.7</v>
      </c>
      <c r="I56" s="153">
        <f>125.1+I58+I57+5.4</f>
        <v>143.2</v>
      </c>
      <c r="J56" s="153">
        <v>143.2</v>
      </c>
      <c r="K56" s="153">
        <f>47.2+3.1</f>
        <v>50.300000000000004</v>
      </c>
      <c r="L56" s="143">
        <v>50.3</v>
      </c>
      <c r="M56" s="1"/>
      <c r="N56" s="1"/>
    </row>
    <row r="57" spans="1:14" ht="15" customHeight="1">
      <c r="A57" s="232"/>
      <c r="B57" s="231"/>
      <c r="C57" s="200" t="s">
        <v>420</v>
      </c>
      <c r="D57" s="233"/>
      <c r="E57" s="199">
        <f t="shared" si="0"/>
        <v>3.3</v>
      </c>
      <c r="F57" s="199">
        <f t="shared" si="0"/>
        <v>3.3</v>
      </c>
      <c r="G57" s="153">
        <v>3.3</v>
      </c>
      <c r="H57" s="153">
        <v>3.3</v>
      </c>
      <c r="I57" s="153">
        <v>2.5</v>
      </c>
      <c r="J57" s="153">
        <v>2.5</v>
      </c>
      <c r="K57" s="153"/>
      <c r="L57" s="143"/>
      <c r="M57" s="1"/>
      <c r="N57" s="1"/>
    </row>
    <row r="58" spans="1:14" ht="15" customHeight="1">
      <c r="A58" s="232"/>
      <c r="B58" s="231"/>
      <c r="C58" s="200" t="s">
        <v>407</v>
      </c>
      <c r="D58" s="233"/>
      <c r="E58" s="199">
        <f t="shared" si="0"/>
        <v>13.3</v>
      </c>
      <c r="F58" s="199">
        <f t="shared" si="0"/>
        <v>13.3</v>
      </c>
      <c r="G58" s="153">
        <v>13.3</v>
      </c>
      <c r="H58" s="153">
        <v>13.3</v>
      </c>
      <c r="I58" s="153">
        <v>10.2</v>
      </c>
      <c r="J58" s="153">
        <v>10.2</v>
      </c>
      <c r="K58" s="153"/>
      <c r="L58" s="143"/>
      <c r="M58" s="1"/>
      <c r="N58" s="1"/>
    </row>
    <row r="59" spans="1:14" ht="15" customHeight="1">
      <c r="A59" s="232">
        <v>16</v>
      </c>
      <c r="B59" s="231"/>
      <c r="C59" s="61" t="s">
        <v>222</v>
      </c>
      <c r="D59" s="233" t="s">
        <v>106</v>
      </c>
      <c r="E59" s="199">
        <f t="shared" si="0"/>
        <v>406.4</v>
      </c>
      <c r="F59" s="199">
        <f t="shared" si="0"/>
        <v>406.40000000000003</v>
      </c>
      <c r="G59" s="153">
        <f>357.2+G61+G60-6.6+10.2</f>
        <v>386.29999999999995</v>
      </c>
      <c r="H59" s="153">
        <v>386.3</v>
      </c>
      <c r="I59" s="153">
        <f>179.6+I61+I60+7.8</f>
        <v>206.8</v>
      </c>
      <c r="J59" s="153">
        <v>206.8</v>
      </c>
      <c r="K59" s="153">
        <f>6.6+13.5</f>
        <v>20.1</v>
      </c>
      <c r="L59" s="143">
        <v>20.1</v>
      </c>
      <c r="M59" s="1"/>
      <c r="N59" s="1"/>
    </row>
    <row r="60" spans="1:14" ht="15" customHeight="1">
      <c r="A60" s="232"/>
      <c r="B60" s="231"/>
      <c r="C60" s="200" t="s">
        <v>420</v>
      </c>
      <c r="D60" s="233"/>
      <c r="E60" s="199">
        <f t="shared" si="0"/>
        <v>2.8</v>
      </c>
      <c r="F60" s="199">
        <f t="shared" si="0"/>
        <v>2.8</v>
      </c>
      <c r="G60" s="153">
        <v>2.8</v>
      </c>
      <c r="H60" s="153">
        <v>2.8</v>
      </c>
      <c r="I60" s="153">
        <v>2.1</v>
      </c>
      <c r="J60" s="153">
        <v>2.1</v>
      </c>
      <c r="K60" s="153"/>
      <c r="L60" s="143"/>
      <c r="M60" s="1"/>
      <c r="N60" s="1"/>
    </row>
    <row r="61" spans="1:14" ht="15" customHeight="1">
      <c r="A61" s="232"/>
      <c r="B61" s="231"/>
      <c r="C61" s="200" t="s">
        <v>407</v>
      </c>
      <c r="D61" s="233"/>
      <c r="E61" s="199">
        <f t="shared" si="0"/>
        <v>22.7</v>
      </c>
      <c r="F61" s="199">
        <f t="shared" si="0"/>
        <v>22.7</v>
      </c>
      <c r="G61" s="153">
        <v>22.7</v>
      </c>
      <c r="H61" s="153">
        <v>22.7</v>
      </c>
      <c r="I61" s="153">
        <v>17.3</v>
      </c>
      <c r="J61" s="153">
        <v>17.3</v>
      </c>
      <c r="K61" s="153"/>
      <c r="L61" s="143"/>
      <c r="M61" s="1"/>
      <c r="N61" s="1"/>
    </row>
    <row r="62" spans="1:14" ht="15" customHeight="1">
      <c r="A62" s="232">
        <v>17</v>
      </c>
      <c r="B62" s="231"/>
      <c r="C62" s="66" t="s">
        <v>224</v>
      </c>
      <c r="D62" s="233" t="s">
        <v>106</v>
      </c>
      <c r="E62" s="199">
        <f t="shared" si="0"/>
        <v>300.6</v>
      </c>
      <c r="F62" s="199">
        <f t="shared" si="0"/>
        <v>300.5</v>
      </c>
      <c r="G62" s="153">
        <f>248.9+G65+G64+G63+17.5</f>
        <v>300.6</v>
      </c>
      <c r="H62" s="153">
        <v>300.5</v>
      </c>
      <c r="I62" s="153">
        <f>138.3+I65+I64+I63+6</f>
        <v>170.4</v>
      </c>
      <c r="J62" s="153">
        <v>170.4</v>
      </c>
      <c r="K62" s="153"/>
      <c r="L62" s="143"/>
      <c r="M62" s="1"/>
      <c r="N62" s="1"/>
    </row>
    <row r="63" spans="1:14" ht="15" customHeight="1">
      <c r="A63" s="232"/>
      <c r="B63" s="231"/>
      <c r="C63" s="200" t="s">
        <v>420</v>
      </c>
      <c r="D63" s="233"/>
      <c r="E63" s="199">
        <f t="shared" si="0"/>
        <v>5</v>
      </c>
      <c r="F63" s="199">
        <f t="shared" si="0"/>
        <v>5</v>
      </c>
      <c r="G63" s="153">
        <v>5</v>
      </c>
      <c r="H63" s="153">
        <v>5</v>
      </c>
      <c r="I63" s="153">
        <v>3.8</v>
      </c>
      <c r="J63" s="153">
        <v>3.8</v>
      </c>
      <c r="K63" s="153"/>
      <c r="L63" s="143"/>
      <c r="M63" s="1"/>
      <c r="N63" s="1"/>
    </row>
    <row r="64" spans="1:14" ht="18" customHeight="1">
      <c r="A64" s="232"/>
      <c r="B64" s="231"/>
      <c r="C64" s="61" t="s">
        <v>419</v>
      </c>
      <c r="D64" s="233"/>
      <c r="E64" s="199">
        <f t="shared" si="0"/>
        <v>2.1</v>
      </c>
      <c r="F64" s="199">
        <f t="shared" si="0"/>
        <v>2.1</v>
      </c>
      <c r="G64" s="153">
        <v>2.1</v>
      </c>
      <c r="H64" s="153">
        <v>2.1</v>
      </c>
      <c r="I64" s="153">
        <v>1.6</v>
      </c>
      <c r="J64" s="153">
        <v>1.6</v>
      </c>
      <c r="K64" s="153"/>
      <c r="L64" s="143"/>
      <c r="M64" s="1"/>
      <c r="N64" s="1"/>
    </row>
    <row r="65" spans="1:14" ht="15" customHeight="1">
      <c r="A65" s="232"/>
      <c r="B65" s="231"/>
      <c r="C65" s="200" t="s">
        <v>407</v>
      </c>
      <c r="D65" s="233"/>
      <c r="E65" s="199">
        <f t="shared" si="0"/>
        <v>27.1</v>
      </c>
      <c r="F65" s="199">
        <f t="shared" si="0"/>
        <v>27.1</v>
      </c>
      <c r="G65" s="153">
        <v>27.1</v>
      </c>
      <c r="H65" s="153">
        <v>27.1</v>
      </c>
      <c r="I65" s="153">
        <v>20.7</v>
      </c>
      <c r="J65" s="153">
        <v>20.7</v>
      </c>
      <c r="K65" s="153"/>
      <c r="L65" s="143"/>
      <c r="M65" s="1"/>
      <c r="N65" s="1"/>
    </row>
    <row r="66" spans="1:14" ht="15" customHeight="1">
      <c r="A66" s="232">
        <v>18</v>
      </c>
      <c r="B66" s="231"/>
      <c r="C66" s="61" t="s">
        <v>223</v>
      </c>
      <c r="D66" s="233" t="s">
        <v>106</v>
      </c>
      <c r="E66" s="199">
        <f t="shared" si="0"/>
        <v>310.00000000000006</v>
      </c>
      <c r="F66" s="199">
        <f t="shared" si="0"/>
        <v>310</v>
      </c>
      <c r="G66" s="153">
        <f>263.8+G68+G67+1+18.3</f>
        <v>310.00000000000006</v>
      </c>
      <c r="H66" s="153">
        <v>310</v>
      </c>
      <c r="I66" s="153">
        <f>153.6+I68+I67+12.3</f>
        <v>186.4</v>
      </c>
      <c r="J66" s="153">
        <v>186.4</v>
      </c>
      <c r="K66" s="153"/>
      <c r="L66" s="143"/>
      <c r="M66" s="1"/>
      <c r="N66" s="1"/>
    </row>
    <row r="67" spans="1:14" ht="15" customHeight="1">
      <c r="A67" s="232"/>
      <c r="B67" s="231"/>
      <c r="C67" s="200" t="s">
        <v>420</v>
      </c>
      <c r="D67" s="233"/>
      <c r="E67" s="199">
        <f t="shared" si="0"/>
        <v>7.6</v>
      </c>
      <c r="F67" s="199">
        <f t="shared" si="0"/>
        <v>7.6</v>
      </c>
      <c r="G67" s="153">
        <v>7.6</v>
      </c>
      <c r="H67" s="153">
        <v>7.6</v>
      </c>
      <c r="I67" s="153">
        <v>5.8</v>
      </c>
      <c r="J67" s="153">
        <v>5.8</v>
      </c>
      <c r="K67" s="153"/>
      <c r="L67" s="143"/>
      <c r="M67" s="1"/>
      <c r="N67" s="1"/>
    </row>
    <row r="68" spans="1:14" ht="15" customHeight="1">
      <c r="A68" s="232"/>
      <c r="B68" s="231"/>
      <c r="C68" s="200" t="s">
        <v>407</v>
      </c>
      <c r="D68" s="233"/>
      <c r="E68" s="199">
        <f t="shared" si="0"/>
        <v>19.3</v>
      </c>
      <c r="F68" s="199">
        <f t="shared" si="0"/>
        <v>19.3</v>
      </c>
      <c r="G68" s="153">
        <v>19.3</v>
      </c>
      <c r="H68" s="153">
        <v>19.3</v>
      </c>
      <c r="I68" s="153">
        <v>14.7</v>
      </c>
      <c r="J68" s="153">
        <v>14.7</v>
      </c>
      <c r="K68" s="153"/>
      <c r="L68" s="143"/>
      <c r="M68" s="1"/>
      <c r="N68" s="1"/>
    </row>
    <row r="69" spans="1:14" ht="15" customHeight="1">
      <c r="A69" s="232">
        <v>19</v>
      </c>
      <c r="B69" s="231"/>
      <c r="C69" s="61" t="s">
        <v>79</v>
      </c>
      <c r="D69" s="233" t="s">
        <v>106</v>
      </c>
      <c r="E69" s="199">
        <f t="shared" si="0"/>
        <v>164.10000000000002</v>
      </c>
      <c r="F69" s="199">
        <f t="shared" si="0"/>
        <v>164.1</v>
      </c>
      <c r="G69" s="153">
        <f>144.9+G71+G70+9.6</f>
        <v>164.10000000000002</v>
      </c>
      <c r="H69" s="153">
        <v>164.1</v>
      </c>
      <c r="I69" s="153">
        <f>88.7+I71+I70+3.8</f>
        <v>99.8</v>
      </c>
      <c r="J69" s="153">
        <v>99.8</v>
      </c>
      <c r="K69" s="153"/>
      <c r="L69" s="143"/>
      <c r="M69" s="1"/>
      <c r="N69" s="1"/>
    </row>
    <row r="70" spans="1:14" ht="15" customHeight="1">
      <c r="A70" s="232"/>
      <c r="B70" s="231"/>
      <c r="C70" s="200" t="s">
        <v>420</v>
      </c>
      <c r="D70" s="233"/>
      <c r="E70" s="199">
        <f t="shared" si="0"/>
        <v>3.3</v>
      </c>
      <c r="F70" s="199">
        <f t="shared" si="0"/>
        <v>3.3</v>
      </c>
      <c r="G70" s="153">
        <v>3.3</v>
      </c>
      <c r="H70" s="153">
        <v>3.3</v>
      </c>
      <c r="I70" s="153">
        <v>2.5</v>
      </c>
      <c r="J70" s="153">
        <v>2.5</v>
      </c>
      <c r="K70" s="153"/>
      <c r="L70" s="143"/>
      <c r="M70" s="1"/>
      <c r="N70" s="1"/>
    </row>
    <row r="71" spans="1:14" ht="15" customHeight="1">
      <c r="A71" s="232"/>
      <c r="B71" s="231"/>
      <c r="C71" s="200" t="s">
        <v>407</v>
      </c>
      <c r="D71" s="233"/>
      <c r="E71" s="199">
        <f t="shared" si="0"/>
        <v>6.3</v>
      </c>
      <c r="F71" s="199">
        <f t="shared" si="0"/>
        <v>6.3</v>
      </c>
      <c r="G71" s="153">
        <v>6.3</v>
      </c>
      <c r="H71" s="153">
        <v>6.3</v>
      </c>
      <c r="I71" s="153">
        <v>4.8</v>
      </c>
      <c r="J71" s="153">
        <v>4.8</v>
      </c>
      <c r="K71" s="153"/>
      <c r="L71" s="143"/>
      <c r="M71" s="1"/>
      <c r="N71" s="1"/>
    </row>
    <row r="72" spans="1:14" ht="15" customHeight="1">
      <c r="A72" s="232">
        <v>20</v>
      </c>
      <c r="B72" s="231"/>
      <c r="C72" s="61" t="s">
        <v>270</v>
      </c>
      <c r="D72" s="233" t="s">
        <v>106</v>
      </c>
      <c r="E72" s="199">
        <f t="shared" si="0"/>
        <v>469.8</v>
      </c>
      <c r="F72" s="199">
        <f t="shared" si="0"/>
        <v>469.8</v>
      </c>
      <c r="G72" s="153">
        <f>411.8+G75+G73+G74+1.7+25.9</f>
        <v>464.8</v>
      </c>
      <c r="H72" s="153">
        <v>464.8</v>
      </c>
      <c r="I72" s="153">
        <f>243.4+I75+I73+I74+5.5</f>
        <v>268.3</v>
      </c>
      <c r="J72" s="153">
        <v>268.3</v>
      </c>
      <c r="K72" s="153">
        <v>5</v>
      </c>
      <c r="L72" s="143">
        <v>5</v>
      </c>
      <c r="M72" s="1"/>
      <c r="N72" s="1"/>
    </row>
    <row r="73" spans="1:14" ht="15" customHeight="1">
      <c r="A73" s="232"/>
      <c r="B73" s="231"/>
      <c r="C73" s="200" t="s">
        <v>420</v>
      </c>
      <c r="D73" s="233"/>
      <c r="E73" s="199">
        <f t="shared" si="0"/>
        <v>7.1</v>
      </c>
      <c r="F73" s="199">
        <f t="shared" si="0"/>
        <v>7.1</v>
      </c>
      <c r="G73" s="153">
        <v>7.1</v>
      </c>
      <c r="H73" s="153">
        <v>7.1</v>
      </c>
      <c r="I73" s="153">
        <v>5.4</v>
      </c>
      <c r="J73" s="153">
        <v>5.4</v>
      </c>
      <c r="K73" s="153"/>
      <c r="L73" s="143"/>
      <c r="M73" s="1"/>
      <c r="N73" s="1"/>
    </row>
    <row r="74" spans="1:14" ht="15" customHeight="1">
      <c r="A74" s="232"/>
      <c r="B74" s="231"/>
      <c r="C74" s="200" t="s">
        <v>419</v>
      </c>
      <c r="D74" s="233"/>
      <c r="E74" s="199">
        <f t="shared" si="0"/>
        <v>4.8</v>
      </c>
      <c r="F74" s="199">
        <f t="shared" si="0"/>
        <v>4.8</v>
      </c>
      <c r="G74" s="153">
        <v>4.8</v>
      </c>
      <c r="H74" s="153">
        <v>4.8</v>
      </c>
      <c r="I74" s="153">
        <v>3.7</v>
      </c>
      <c r="J74" s="153">
        <v>3.7</v>
      </c>
      <c r="K74" s="153"/>
      <c r="L74" s="143"/>
      <c r="M74" s="1"/>
      <c r="N74" s="1"/>
    </row>
    <row r="75" spans="1:14" ht="15" customHeight="1">
      <c r="A75" s="232"/>
      <c r="B75" s="231"/>
      <c r="C75" s="200" t="s">
        <v>407</v>
      </c>
      <c r="D75" s="233"/>
      <c r="E75" s="199">
        <f t="shared" si="0"/>
        <v>13.5</v>
      </c>
      <c r="F75" s="199">
        <f t="shared" si="0"/>
        <v>13.5</v>
      </c>
      <c r="G75" s="153">
        <v>13.5</v>
      </c>
      <c r="H75" s="153">
        <v>13.5</v>
      </c>
      <c r="I75" s="153">
        <v>10.3</v>
      </c>
      <c r="J75" s="153">
        <v>10.3</v>
      </c>
      <c r="K75" s="153"/>
      <c r="L75" s="143"/>
      <c r="M75" s="1"/>
      <c r="N75" s="1"/>
    </row>
    <row r="76" spans="1:14" ht="15" customHeight="1">
      <c r="A76" s="232">
        <v>21</v>
      </c>
      <c r="B76" s="231"/>
      <c r="C76" s="61" t="s">
        <v>422</v>
      </c>
      <c r="D76" s="233" t="s">
        <v>106</v>
      </c>
      <c r="E76" s="199">
        <f t="shared" si="0"/>
        <v>117.30000000000001</v>
      </c>
      <c r="F76" s="199">
        <f t="shared" si="0"/>
        <v>117.2</v>
      </c>
      <c r="G76" s="153">
        <f>100.4+G78+G77+3.3+6.4</f>
        <v>117.30000000000001</v>
      </c>
      <c r="H76" s="153">
        <v>117.2</v>
      </c>
      <c r="I76" s="153">
        <f>58+I78+I77+2.5</f>
        <v>66</v>
      </c>
      <c r="J76" s="153">
        <v>66</v>
      </c>
      <c r="K76" s="153"/>
      <c r="L76" s="143"/>
      <c r="M76" s="1"/>
      <c r="N76" s="1"/>
    </row>
    <row r="77" spans="1:14" ht="15" customHeight="1">
      <c r="A77" s="232"/>
      <c r="B77" s="231"/>
      <c r="C77" s="200" t="s">
        <v>420</v>
      </c>
      <c r="D77" s="233"/>
      <c r="E77" s="199">
        <f t="shared" si="0"/>
        <v>0.9</v>
      </c>
      <c r="F77" s="199">
        <f t="shared" si="0"/>
        <v>0.9</v>
      </c>
      <c r="G77" s="153">
        <v>0.9</v>
      </c>
      <c r="H77" s="153">
        <v>0.9</v>
      </c>
      <c r="I77" s="153">
        <v>0.7</v>
      </c>
      <c r="J77" s="153">
        <v>0.7</v>
      </c>
      <c r="K77" s="153"/>
      <c r="L77" s="143"/>
      <c r="M77" s="1"/>
      <c r="N77" s="1"/>
    </row>
    <row r="78" spans="1:14" ht="15" customHeight="1">
      <c r="A78" s="232"/>
      <c r="B78" s="231"/>
      <c r="C78" s="200" t="s">
        <v>407</v>
      </c>
      <c r="D78" s="233"/>
      <c r="E78" s="199">
        <f t="shared" si="0"/>
        <v>6.3</v>
      </c>
      <c r="F78" s="199">
        <f t="shared" si="0"/>
        <v>6.3</v>
      </c>
      <c r="G78" s="153">
        <v>6.3</v>
      </c>
      <c r="H78" s="153">
        <v>6.3</v>
      </c>
      <c r="I78" s="153">
        <v>4.8</v>
      </c>
      <c r="J78" s="153">
        <v>4.8</v>
      </c>
      <c r="K78" s="153"/>
      <c r="L78" s="143"/>
      <c r="M78" s="1"/>
      <c r="N78" s="1"/>
    </row>
    <row r="79" spans="1:14" ht="15" customHeight="1">
      <c r="A79" s="232">
        <v>22</v>
      </c>
      <c r="B79" s="231"/>
      <c r="C79" s="61" t="s">
        <v>80</v>
      </c>
      <c r="D79" s="233" t="s">
        <v>106</v>
      </c>
      <c r="E79" s="199">
        <f t="shared" si="0"/>
        <v>139.7</v>
      </c>
      <c r="F79" s="199">
        <f t="shared" si="0"/>
        <v>139.7</v>
      </c>
      <c r="G79" s="153">
        <f>124+G81+G80-1.6+7</f>
        <v>138.1</v>
      </c>
      <c r="H79" s="153">
        <v>138.1</v>
      </c>
      <c r="I79" s="153">
        <f>79.2+I81+I80+3.4</f>
        <v>89.30000000000001</v>
      </c>
      <c r="J79" s="153">
        <v>89.3</v>
      </c>
      <c r="K79" s="153">
        <v>1.6</v>
      </c>
      <c r="L79" s="143">
        <v>1.6</v>
      </c>
      <c r="M79" s="1"/>
      <c r="N79" s="1"/>
    </row>
    <row r="80" spans="1:14" ht="15" customHeight="1">
      <c r="A80" s="232"/>
      <c r="B80" s="231"/>
      <c r="C80" s="200" t="s">
        <v>420</v>
      </c>
      <c r="D80" s="233"/>
      <c r="E80" s="199">
        <f t="shared" si="0"/>
        <v>2.6</v>
      </c>
      <c r="F80" s="199">
        <f t="shared" si="0"/>
        <v>2.6</v>
      </c>
      <c r="G80" s="153">
        <v>2.6</v>
      </c>
      <c r="H80" s="153">
        <v>2.6</v>
      </c>
      <c r="I80" s="153">
        <v>2</v>
      </c>
      <c r="J80" s="153">
        <v>2</v>
      </c>
      <c r="K80" s="153"/>
      <c r="L80" s="143"/>
      <c r="M80" s="1"/>
      <c r="N80" s="1"/>
    </row>
    <row r="81" spans="1:14" ht="15" customHeight="1">
      <c r="A81" s="232"/>
      <c r="B81" s="231"/>
      <c r="C81" s="200" t="s">
        <v>407</v>
      </c>
      <c r="D81" s="233"/>
      <c r="E81" s="199">
        <f t="shared" si="0"/>
        <v>6.1</v>
      </c>
      <c r="F81" s="199">
        <f t="shared" si="0"/>
        <v>6.1</v>
      </c>
      <c r="G81" s="153">
        <v>6.1</v>
      </c>
      <c r="H81" s="153">
        <v>6.1</v>
      </c>
      <c r="I81" s="153">
        <v>4.7</v>
      </c>
      <c r="J81" s="153">
        <v>4.7</v>
      </c>
      <c r="K81" s="153"/>
      <c r="L81" s="143"/>
      <c r="M81" s="1"/>
      <c r="N81" s="1"/>
    </row>
    <row r="82" spans="1:14" ht="15" customHeight="1">
      <c r="A82" s="232">
        <v>23</v>
      </c>
      <c r="B82" s="231"/>
      <c r="C82" s="61" t="s">
        <v>272</v>
      </c>
      <c r="D82" s="233" t="s">
        <v>106</v>
      </c>
      <c r="E82" s="199">
        <f t="shared" si="0"/>
        <v>137.29999999999998</v>
      </c>
      <c r="F82" s="199">
        <f t="shared" si="0"/>
        <v>137.1</v>
      </c>
      <c r="G82" s="153">
        <f>114.1+G85+G84+G83+4.7+7.8</f>
        <v>137.29999999999998</v>
      </c>
      <c r="H82" s="153">
        <v>137.1</v>
      </c>
      <c r="I82" s="153">
        <f>64.4+I85+I84+I83+2.8</f>
        <v>75.30000000000001</v>
      </c>
      <c r="J82" s="153">
        <v>75.3</v>
      </c>
      <c r="K82" s="153"/>
      <c r="L82" s="143"/>
      <c r="M82" s="1"/>
      <c r="N82" s="1"/>
    </row>
    <row r="83" spans="1:14" ht="15" customHeight="1">
      <c r="A83" s="232"/>
      <c r="B83" s="231"/>
      <c r="C83" s="200" t="s">
        <v>420</v>
      </c>
      <c r="D83" s="233"/>
      <c r="E83" s="199">
        <f t="shared" si="0"/>
        <v>1.6</v>
      </c>
      <c r="F83" s="199">
        <f t="shared" si="0"/>
        <v>1.6</v>
      </c>
      <c r="G83" s="153">
        <v>1.6</v>
      </c>
      <c r="H83" s="153">
        <v>1.6</v>
      </c>
      <c r="I83" s="153">
        <v>1.2</v>
      </c>
      <c r="J83" s="153">
        <v>1.2</v>
      </c>
      <c r="K83" s="153"/>
      <c r="L83" s="143"/>
      <c r="M83" s="1"/>
      <c r="N83" s="1"/>
    </row>
    <row r="84" spans="1:14" ht="15" customHeight="1">
      <c r="A84" s="232"/>
      <c r="B84" s="231"/>
      <c r="C84" s="61" t="s">
        <v>419</v>
      </c>
      <c r="D84" s="233"/>
      <c r="E84" s="199">
        <f t="shared" si="0"/>
        <v>2.5</v>
      </c>
      <c r="F84" s="199">
        <f t="shared" si="0"/>
        <v>2.5</v>
      </c>
      <c r="G84" s="153">
        <v>2.5</v>
      </c>
      <c r="H84" s="153">
        <v>2.5</v>
      </c>
      <c r="I84" s="153">
        <v>1.9</v>
      </c>
      <c r="J84" s="153">
        <v>1.9</v>
      </c>
      <c r="K84" s="153"/>
      <c r="L84" s="143"/>
      <c r="M84" s="1"/>
      <c r="N84" s="1"/>
    </row>
    <row r="85" spans="1:14" ht="15" customHeight="1">
      <c r="A85" s="232"/>
      <c r="B85" s="231"/>
      <c r="C85" s="200" t="s">
        <v>407</v>
      </c>
      <c r="D85" s="233"/>
      <c r="E85" s="199">
        <f t="shared" si="0"/>
        <v>6.6</v>
      </c>
      <c r="F85" s="199">
        <f t="shared" si="0"/>
        <v>6.5</v>
      </c>
      <c r="G85" s="153">
        <v>6.6</v>
      </c>
      <c r="H85" s="153">
        <v>6.5</v>
      </c>
      <c r="I85" s="153">
        <v>5</v>
      </c>
      <c r="J85" s="153">
        <v>5</v>
      </c>
      <c r="K85" s="153"/>
      <c r="L85" s="143"/>
      <c r="M85" s="1"/>
      <c r="N85" s="1"/>
    </row>
    <row r="86" spans="1:14" ht="15" customHeight="1">
      <c r="A86" s="232">
        <v>24</v>
      </c>
      <c r="B86" s="237"/>
      <c r="C86" s="61" t="s">
        <v>192</v>
      </c>
      <c r="D86" s="235" t="s">
        <v>187</v>
      </c>
      <c r="E86" s="199">
        <f t="shared" si="0"/>
        <v>318.09999999999997</v>
      </c>
      <c r="F86" s="199">
        <f t="shared" si="0"/>
        <v>317.5</v>
      </c>
      <c r="G86" s="153">
        <f>284.2+G88+G87+21.9</f>
        <v>316.79999999999995</v>
      </c>
      <c r="H86" s="153">
        <v>316.2</v>
      </c>
      <c r="I86" s="153">
        <f>158.1+I88+I87+10.2</f>
        <v>176.39999999999998</v>
      </c>
      <c r="J86" s="153">
        <v>176.3</v>
      </c>
      <c r="K86" s="153">
        <v>1.3</v>
      </c>
      <c r="L86" s="143">
        <v>1.3</v>
      </c>
      <c r="M86" s="1"/>
      <c r="N86" s="1"/>
    </row>
    <row r="87" spans="1:14" ht="15" customHeight="1">
      <c r="A87" s="232"/>
      <c r="B87" s="237"/>
      <c r="C87" s="200" t="s">
        <v>420</v>
      </c>
      <c r="D87" s="235"/>
      <c r="E87" s="199">
        <f t="shared" si="0"/>
        <v>3.3</v>
      </c>
      <c r="F87" s="199">
        <f t="shared" si="0"/>
        <v>3.3</v>
      </c>
      <c r="G87" s="153">
        <v>3.3</v>
      </c>
      <c r="H87" s="153">
        <v>3.3</v>
      </c>
      <c r="I87" s="153">
        <v>2.5</v>
      </c>
      <c r="J87" s="153">
        <v>2.5</v>
      </c>
      <c r="K87" s="153"/>
      <c r="L87" s="143"/>
      <c r="M87" s="1"/>
      <c r="N87" s="1"/>
    </row>
    <row r="88" spans="1:14" ht="15" customHeight="1">
      <c r="A88" s="232"/>
      <c r="B88" s="237"/>
      <c r="C88" s="200" t="s">
        <v>407</v>
      </c>
      <c r="D88" s="235"/>
      <c r="E88" s="199">
        <f t="shared" si="0"/>
        <v>7.4</v>
      </c>
      <c r="F88" s="199">
        <f t="shared" si="0"/>
        <v>7.3</v>
      </c>
      <c r="G88" s="153">
        <v>7.4</v>
      </c>
      <c r="H88" s="153">
        <v>7.3</v>
      </c>
      <c r="I88" s="153">
        <v>5.6</v>
      </c>
      <c r="J88" s="153">
        <v>5.6</v>
      </c>
      <c r="K88" s="153"/>
      <c r="L88" s="143"/>
      <c r="M88" s="1"/>
      <c r="N88" s="1"/>
    </row>
    <row r="89" spans="1:14" ht="15" customHeight="1">
      <c r="A89" s="232">
        <v>25</v>
      </c>
      <c r="B89" s="237"/>
      <c r="C89" s="66" t="s">
        <v>88</v>
      </c>
      <c r="D89" s="233" t="s">
        <v>106</v>
      </c>
      <c r="E89" s="199">
        <f t="shared" si="0"/>
        <v>13.600000000000001</v>
      </c>
      <c r="F89" s="199">
        <f t="shared" si="0"/>
        <v>13.6</v>
      </c>
      <c r="G89" s="153">
        <f>+G91+G90</f>
        <v>13.600000000000001</v>
      </c>
      <c r="H89" s="153">
        <v>13.6</v>
      </c>
      <c r="I89" s="153">
        <f>+I91+I90</f>
        <v>10.299999999999999</v>
      </c>
      <c r="J89" s="153">
        <v>10.3</v>
      </c>
      <c r="K89" s="153"/>
      <c r="L89" s="143"/>
      <c r="M89" s="1"/>
      <c r="N89" s="1"/>
    </row>
    <row r="90" spans="1:14" ht="15" customHeight="1">
      <c r="A90" s="232"/>
      <c r="B90" s="237"/>
      <c r="C90" s="61" t="s">
        <v>419</v>
      </c>
      <c r="D90" s="233"/>
      <c r="E90" s="199">
        <f t="shared" si="0"/>
        <v>2.8</v>
      </c>
      <c r="F90" s="199">
        <f t="shared" si="0"/>
        <v>2.8</v>
      </c>
      <c r="G90" s="153">
        <v>2.8</v>
      </c>
      <c r="H90" s="153">
        <v>2.8</v>
      </c>
      <c r="I90" s="153">
        <v>2.1</v>
      </c>
      <c r="J90" s="153">
        <v>2.1</v>
      </c>
      <c r="K90" s="153"/>
      <c r="L90" s="143"/>
      <c r="M90" s="1"/>
      <c r="N90" s="1"/>
    </row>
    <row r="91" spans="1:14" ht="15" customHeight="1">
      <c r="A91" s="232"/>
      <c r="B91" s="237"/>
      <c r="C91" s="200" t="s">
        <v>407</v>
      </c>
      <c r="D91" s="233"/>
      <c r="E91" s="199">
        <f t="shared" si="0"/>
        <v>10.8</v>
      </c>
      <c r="F91" s="199">
        <f t="shared" si="0"/>
        <v>10.8</v>
      </c>
      <c r="G91" s="153">
        <v>10.8</v>
      </c>
      <c r="H91" s="153">
        <v>10.8</v>
      </c>
      <c r="I91" s="153">
        <v>8.2</v>
      </c>
      <c r="J91" s="153">
        <v>8.2</v>
      </c>
      <c r="K91" s="153"/>
      <c r="L91" s="143"/>
      <c r="M91" s="1"/>
      <c r="N91" s="1"/>
    </row>
    <row r="92" spans="1:14" ht="15" customHeight="1">
      <c r="A92" s="232">
        <v>26</v>
      </c>
      <c r="B92" s="231"/>
      <c r="C92" s="66" t="s">
        <v>97</v>
      </c>
      <c r="D92" s="233" t="s">
        <v>107</v>
      </c>
      <c r="E92" s="199">
        <f t="shared" si="0"/>
        <v>141</v>
      </c>
      <c r="F92" s="199">
        <f t="shared" si="0"/>
        <v>140.3</v>
      </c>
      <c r="G92" s="153">
        <f>140.3+G93</f>
        <v>141</v>
      </c>
      <c r="H92" s="153">
        <v>140.3</v>
      </c>
      <c r="I92" s="153">
        <f>107.1+I93</f>
        <v>107.6</v>
      </c>
      <c r="J92" s="153">
        <v>107.6</v>
      </c>
      <c r="K92" s="153"/>
      <c r="L92" s="143"/>
      <c r="M92" s="1"/>
      <c r="N92" s="1"/>
    </row>
    <row r="93" spans="1:14" ht="15" customHeight="1">
      <c r="A93" s="232"/>
      <c r="B93" s="231"/>
      <c r="C93" s="200" t="s">
        <v>420</v>
      </c>
      <c r="D93" s="233"/>
      <c r="E93" s="199">
        <f t="shared" si="0"/>
        <v>0.7</v>
      </c>
      <c r="F93" s="199">
        <f t="shared" si="0"/>
        <v>0.7</v>
      </c>
      <c r="G93" s="153">
        <v>0.7</v>
      </c>
      <c r="H93" s="153">
        <v>0.7</v>
      </c>
      <c r="I93" s="153">
        <v>0.5</v>
      </c>
      <c r="J93" s="153">
        <v>0.5</v>
      </c>
      <c r="K93" s="153"/>
      <c r="L93" s="143"/>
      <c r="M93" s="1"/>
      <c r="N93" s="1"/>
    </row>
    <row r="94" spans="1:14" ht="15" customHeight="1">
      <c r="A94" s="232">
        <v>27</v>
      </c>
      <c r="B94" s="231"/>
      <c r="C94" s="66" t="s">
        <v>86</v>
      </c>
      <c r="D94" s="233" t="s">
        <v>107</v>
      </c>
      <c r="E94" s="199">
        <f t="shared" si="0"/>
        <v>193.4</v>
      </c>
      <c r="F94" s="199">
        <f t="shared" si="0"/>
        <v>193.2</v>
      </c>
      <c r="G94" s="153">
        <f>191.4+G95</f>
        <v>193.4</v>
      </c>
      <c r="H94" s="153">
        <v>193.2</v>
      </c>
      <c r="I94" s="153">
        <f>146.1+I95+0.4</f>
        <v>148</v>
      </c>
      <c r="J94" s="153">
        <v>147.9</v>
      </c>
      <c r="K94" s="153"/>
      <c r="L94" s="143"/>
      <c r="M94" s="1"/>
      <c r="N94" s="1"/>
    </row>
    <row r="95" spans="1:14" ht="15" customHeight="1">
      <c r="A95" s="232"/>
      <c r="B95" s="231"/>
      <c r="C95" s="200" t="s">
        <v>420</v>
      </c>
      <c r="D95" s="233"/>
      <c r="E95" s="199">
        <f t="shared" si="0"/>
        <v>2</v>
      </c>
      <c r="F95" s="199">
        <f t="shared" si="0"/>
        <v>2</v>
      </c>
      <c r="G95" s="153">
        <v>2</v>
      </c>
      <c r="H95" s="153">
        <v>2</v>
      </c>
      <c r="I95" s="153">
        <v>1.5</v>
      </c>
      <c r="J95" s="153">
        <v>1.5</v>
      </c>
      <c r="K95" s="153"/>
      <c r="L95" s="143"/>
      <c r="M95" s="1"/>
      <c r="N95" s="1"/>
    </row>
    <row r="96" spans="1:14" ht="15" customHeight="1">
      <c r="A96" s="232">
        <v>28</v>
      </c>
      <c r="B96" s="231"/>
      <c r="C96" s="66" t="s">
        <v>87</v>
      </c>
      <c r="D96" s="233" t="s">
        <v>107</v>
      </c>
      <c r="E96" s="199">
        <f t="shared" si="0"/>
        <v>617.9</v>
      </c>
      <c r="F96" s="199">
        <f t="shared" si="0"/>
        <v>617.9</v>
      </c>
      <c r="G96" s="153">
        <f>616.9+G97</f>
        <v>617.9</v>
      </c>
      <c r="H96" s="153">
        <v>617.9</v>
      </c>
      <c r="I96" s="153">
        <f>471+I97+1</f>
        <v>472.8</v>
      </c>
      <c r="J96" s="153">
        <v>472.8</v>
      </c>
      <c r="K96" s="153"/>
      <c r="L96" s="143"/>
      <c r="M96" s="1"/>
      <c r="N96" s="1"/>
    </row>
    <row r="97" spans="1:14" ht="15" customHeight="1">
      <c r="A97" s="232"/>
      <c r="B97" s="231"/>
      <c r="C97" s="200" t="s">
        <v>420</v>
      </c>
      <c r="D97" s="233"/>
      <c r="E97" s="199">
        <f t="shared" si="0"/>
        <v>1</v>
      </c>
      <c r="F97" s="199">
        <f t="shared" si="0"/>
        <v>1</v>
      </c>
      <c r="G97" s="153">
        <v>1</v>
      </c>
      <c r="H97" s="153">
        <v>1</v>
      </c>
      <c r="I97" s="153">
        <v>0.8</v>
      </c>
      <c r="J97" s="153">
        <v>0.8</v>
      </c>
      <c r="K97" s="153"/>
      <c r="L97" s="143"/>
      <c r="M97" s="1"/>
      <c r="N97" s="1"/>
    </row>
    <row r="98" spans="1:14" ht="15" customHeight="1">
      <c r="A98" s="232">
        <v>29</v>
      </c>
      <c r="B98" s="231"/>
      <c r="C98" s="66" t="s">
        <v>193</v>
      </c>
      <c r="D98" s="233" t="s">
        <v>107</v>
      </c>
      <c r="E98" s="199">
        <f t="shared" si="0"/>
        <v>586.1999999999999</v>
      </c>
      <c r="F98" s="199">
        <f t="shared" si="0"/>
        <v>585.8</v>
      </c>
      <c r="G98" s="153">
        <f>500.2-10+G99+3.4+24.2</f>
        <v>520.1999999999999</v>
      </c>
      <c r="H98" s="153">
        <v>519.8</v>
      </c>
      <c r="I98" s="153">
        <f>260.9+I99</f>
        <v>262.7</v>
      </c>
      <c r="J98" s="153">
        <v>262.6</v>
      </c>
      <c r="K98" s="153">
        <f>10+56</f>
        <v>66</v>
      </c>
      <c r="L98" s="143">
        <v>66</v>
      </c>
      <c r="M98" s="1"/>
      <c r="N98" s="1"/>
    </row>
    <row r="99" spans="1:14" ht="15" customHeight="1">
      <c r="A99" s="232"/>
      <c r="B99" s="231"/>
      <c r="C99" s="200" t="s">
        <v>420</v>
      </c>
      <c r="D99" s="233"/>
      <c r="E99" s="199">
        <f t="shared" si="0"/>
        <v>2.4</v>
      </c>
      <c r="F99" s="199">
        <f t="shared" si="0"/>
        <v>2.4</v>
      </c>
      <c r="G99" s="153">
        <v>2.4</v>
      </c>
      <c r="H99" s="153">
        <v>2.4</v>
      </c>
      <c r="I99" s="153">
        <v>1.8</v>
      </c>
      <c r="J99" s="153">
        <v>1.8</v>
      </c>
      <c r="K99" s="153"/>
      <c r="L99" s="143"/>
      <c r="M99" s="1"/>
      <c r="N99" s="1"/>
    </row>
    <row r="100" spans="1:14" ht="15" customHeight="1">
      <c r="A100" s="232">
        <v>30</v>
      </c>
      <c r="B100" s="231"/>
      <c r="C100" s="66" t="s">
        <v>266</v>
      </c>
      <c r="D100" s="235" t="s">
        <v>621</v>
      </c>
      <c r="E100" s="199">
        <f>+G100+K100</f>
        <v>250.29999999999998</v>
      </c>
      <c r="F100" s="199">
        <f>+H100+L100</f>
        <v>249.8</v>
      </c>
      <c r="G100" s="153">
        <f>99+G102+G103+G104+2.2+4.6</f>
        <v>250.29999999999998</v>
      </c>
      <c r="H100" s="153">
        <v>249.8</v>
      </c>
      <c r="I100" s="153">
        <f>65+I102+I103+I104+1.7+2.8</f>
        <v>71.5</v>
      </c>
      <c r="J100" s="153">
        <v>71.5</v>
      </c>
      <c r="K100" s="153"/>
      <c r="L100" s="143"/>
      <c r="M100" s="1"/>
      <c r="N100" s="1"/>
    </row>
    <row r="101" spans="1:14" ht="15" customHeight="1">
      <c r="A101" s="232"/>
      <c r="B101" s="231"/>
      <c r="C101" s="202" t="s">
        <v>121</v>
      </c>
      <c r="D101" s="235"/>
      <c r="E101" s="199"/>
      <c r="F101" s="199"/>
      <c r="G101" s="153"/>
      <c r="H101" s="153"/>
      <c r="I101" s="153"/>
      <c r="J101" s="153"/>
      <c r="K101" s="153"/>
      <c r="L101" s="143"/>
      <c r="M101" s="1"/>
      <c r="N101" s="1"/>
    </row>
    <row r="102" spans="1:14" ht="15" customHeight="1">
      <c r="A102" s="232"/>
      <c r="B102" s="231"/>
      <c r="C102" s="202" t="s">
        <v>408</v>
      </c>
      <c r="D102" s="235"/>
      <c r="E102" s="199">
        <f>+G102+K102</f>
        <v>141.9</v>
      </c>
      <c r="F102" s="199">
        <f>+H102+L102</f>
        <v>141.9</v>
      </c>
      <c r="G102" s="153">
        <f>122.9+19</f>
        <v>141.9</v>
      </c>
      <c r="H102" s="153">
        <v>141.9</v>
      </c>
      <c r="I102" s="153"/>
      <c r="J102" s="153"/>
      <c r="K102" s="153"/>
      <c r="L102" s="143"/>
      <c r="M102" s="1"/>
      <c r="N102" s="1"/>
    </row>
    <row r="103" spans="1:14" ht="27.75" customHeight="1">
      <c r="A103" s="232"/>
      <c r="B103" s="231"/>
      <c r="C103" s="200" t="s">
        <v>409</v>
      </c>
      <c r="D103" s="235"/>
      <c r="E103" s="199">
        <f aca="true" t="shared" si="3" ref="E103:F111">+G103+K103</f>
        <v>1.9</v>
      </c>
      <c r="F103" s="199">
        <f t="shared" si="3"/>
        <v>1.9</v>
      </c>
      <c r="G103" s="153">
        <v>1.9</v>
      </c>
      <c r="H103" s="153">
        <v>1.9</v>
      </c>
      <c r="I103" s="153">
        <v>1.5</v>
      </c>
      <c r="J103" s="153">
        <v>1.5</v>
      </c>
      <c r="K103" s="153"/>
      <c r="L103" s="143"/>
      <c r="M103" s="1"/>
      <c r="N103" s="1"/>
    </row>
    <row r="104" spans="1:14" ht="15" customHeight="1">
      <c r="A104" s="232"/>
      <c r="B104" s="231"/>
      <c r="C104" s="200" t="s">
        <v>583</v>
      </c>
      <c r="D104" s="162"/>
      <c r="E104" s="199">
        <f t="shared" si="3"/>
        <v>0.7</v>
      </c>
      <c r="F104" s="199">
        <f t="shared" si="3"/>
        <v>0.7</v>
      </c>
      <c r="G104" s="153">
        <v>0.7</v>
      </c>
      <c r="H104" s="153">
        <v>0.7</v>
      </c>
      <c r="I104" s="153">
        <v>0.5</v>
      </c>
      <c r="J104" s="153">
        <v>0.5</v>
      </c>
      <c r="K104" s="153"/>
      <c r="L104" s="143"/>
      <c r="M104" s="1"/>
      <c r="N104" s="1"/>
    </row>
    <row r="105" spans="1:14" ht="15" customHeight="1">
      <c r="A105" s="232">
        <v>31</v>
      </c>
      <c r="B105" s="231"/>
      <c r="C105" s="203" t="s">
        <v>15</v>
      </c>
      <c r="D105" s="233" t="s">
        <v>103</v>
      </c>
      <c r="E105" s="199">
        <f t="shared" si="3"/>
        <v>79.1</v>
      </c>
      <c r="F105" s="199">
        <f t="shared" si="3"/>
        <v>79</v>
      </c>
      <c r="G105" s="153">
        <f>74+G107+G106+0.5+2.1</f>
        <v>79.1</v>
      </c>
      <c r="H105" s="153">
        <v>79</v>
      </c>
      <c r="I105" s="153">
        <f>44+I107+I106+0.4+1</f>
        <v>47.3</v>
      </c>
      <c r="J105" s="153">
        <v>47.3</v>
      </c>
      <c r="K105" s="153"/>
      <c r="L105" s="143"/>
      <c r="M105" s="1"/>
      <c r="N105" s="1"/>
    </row>
    <row r="106" spans="1:14" ht="15" customHeight="1">
      <c r="A106" s="232"/>
      <c r="B106" s="231"/>
      <c r="C106" s="200" t="s">
        <v>420</v>
      </c>
      <c r="D106" s="233"/>
      <c r="E106" s="199">
        <f t="shared" si="3"/>
        <v>1</v>
      </c>
      <c r="F106" s="199">
        <f t="shared" si="3"/>
        <v>1</v>
      </c>
      <c r="G106" s="153">
        <v>1</v>
      </c>
      <c r="H106" s="153">
        <v>1</v>
      </c>
      <c r="I106" s="153">
        <v>0.8</v>
      </c>
      <c r="J106" s="153">
        <v>0.8</v>
      </c>
      <c r="K106" s="153"/>
      <c r="L106" s="143"/>
      <c r="M106" s="1"/>
      <c r="N106" s="1"/>
    </row>
    <row r="107" spans="1:14" ht="15" customHeight="1">
      <c r="A107" s="232"/>
      <c r="B107" s="231"/>
      <c r="C107" s="200" t="s">
        <v>407</v>
      </c>
      <c r="D107" s="233"/>
      <c r="E107" s="199">
        <f t="shared" si="3"/>
        <v>1.5</v>
      </c>
      <c r="F107" s="199">
        <f t="shared" si="3"/>
        <v>1.4</v>
      </c>
      <c r="G107" s="153">
        <v>1.5</v>
      </c>
      <c r="H107" s="153">
        <v>1.4</v>
      </c>
      <c r="I107" s="153">
        <v>1.1</v>
      </c>
      <c r="J107" s="153">
        <v>1.1</v>
      </c>
      <c r="K107" s="153"/>
      <c r="L107" s="143"/>
      <c r="M107" s="1"/>
      <c r="N107" s="1"/>
    </row>
    <row r="108" spans="1:14" ht="15" customHeight="1">
      <c r="A108" s="232">
        <v>32</v>
      </c>
      <c r="B108" s="231"/>
      <c r="C108" s="203" t="s">
        <v>19</v>
      </c>
      <c r="D108" s="233" t="s">
        <v>103</v>
      </c>
      <c r="E108" s="199">
        <f t="shared" si="3"/>
        <v>79.6</v>
      </c>
      <c r="F108" s="199">
        <f t="shared" si="3"/>
        <v>79.3</v>
      </c>
      <c r="G108" s="153">
        <f>73+G110+G109+3.6</f>
        <v>79.6</v>
      </c>
      <c r="H108" s="153">
        <v>79.3</v>
      </c>
      <c r="I108" s="153">
        <f>40+I110+I109+2.8</f>
        <v>45.099999999999994</v>
      </c>
      <c r="J108" s="153">
        <v>45.1</v>
      </c>
      <c r="K108" s="153"/>
      <c r="L108" s="143"/>
      <c r="M108" s="1"/>
      <c r="N108" s="1"/>
    </row>
    <row r="109" spans="1:14" ht="15" customHeight="1">
      <c r="A109" s="232"/>
      <c r="B109" s="231"/>
      <c r="C109" s="200" t="s">
        <v>420</v>
      </c>
      <c r="D109" s="233"/>
      <c r="E109" s="199">
        <f t="shared" si="3"/>
        <v>1.9</v>
      </c>
      <c r="F109" s="199">
        <f t="shared" si="3"/>
        <v>1.9</v>
      </c>
      <c r="G109" s="153">
        <v>1.9</v>
      </c>
      <c r="H109" s="153">
        <v>1.9</v>
      </c>
      <c r="I109" s="153">
        <v>1.5</v>
      </c>
      <c r="J109" s="153">
        <v>1.5</v>
      </c>
      <c r="K109" s="153"/>
      <c r="L109" s="143"/>
      <c r="M109" s="1"/>
      <c r="N109" s="1"/>
    </row>
    <row r="110" spans="1:14" ht="15" customHeight="1">
      <c r="A110" s="232"/>
      <c r="B110" s="231"/>
      <c r="C110" s="200" t="s">
        <v>407</v>
      </c>
      <c r="D110" s="233"/>
      <c r="E110" s="199">
        <f t="shared" si="3"/>
        <v>1.1</v>
      </c>
      <c r="F110" s="199">
        <f t="shared" si="3"/>
        <v>1.1</v>
      </c>
      <c r="G110" s="153">
        <v>1.1</v>
      </c>
      <c r="H110" s="153">
        <v>1.1</v>
      </c>
      <c r="I110" s="153">
        <v>0.8</v>
      </c>
      <c r="J110" s="153">
        <v>0.8</v>
      </c>
      <c r="K110" s="153"/>
      <c r="L110" s="143"/>
      <c r="M110" s="1"/>
      <c r="N110" s="1"/>
    </row>
    <row r="111" spans="1:14" ht="15" customHeight="1">
      <c r="A111" s="55">
        <v>33</v>
      </c>
      <c r="B111" s="9"/>
      <c r="C111" s="64" t="s">
        <v>108</v>
      </c>
      <c r="D111" s="124"/>
      <c r="E111" s="199">
        <f t="shared" si="3"/>
        <v>775.4</v>
      </c>
      <c r="F111" s="199">
        <f t="shared" si="3"/>
        <v>726.7</v>
      </c>
      <c r="G111" s="199">
        <f aca="true" t="shared" si="4" ref="G111:L111">+G113+G114+G115+G116</f>
        <v>560.9</v>
      </c>
      <c r="H111" s="199">
        <f t="shared" si="4"/>
        <v>553.7</v>
      </c>
      <c r="I111" s="199">
        <f t="shared" si="4"/>
        <v>69.6</v>
      </c>
      <c r="J111" s="199">
        <f t="shared" si="4"/>
        <v>69.6</v>
      </c>
      <c r="K111" s="199">
        <f t="shared" si="4"/>
        <v>214.5</v>
      </c>
      <c r="L111" s="199">
        <f t="shared" si="4"/>
        <v>173</v>
      </c>
      <c r="M111" s="1"/>
      <c r="N111" s="1"/>
    </row>
    <row r="112" spans="1:14" ht="15" customHeight="1">
      <c r="A112" s="55"/>
      <c r="B112" s="9"/>
      <c r="C112" s="204" t="s">
        <v>109</v>
      </c>
      <c r="D112" s="124"/>
      <c r="E112" s="199"/>
      <c r="F112" s="199"/>
      <c r="G112" s="199"/>
      <c r="H112" s="199"/>
      <c r="I112" s="199"/>
      <c r="J112" s="199"/>
      <c r="K112" s="199"/>
      <c r="L112" s="143"/>
      <c r="M112" s="1"/>
      <c r="N112" s="1"/>
    </row>
    <row r="113" spans="1:14" ht="15" customHeight="1">
      <c r="A113" s="187" t="s">
        <v>435</v>
      </c>
      <c r="B113" s="87"/>
      <c r="C113" s="66" t="s">
        <v>3</v>
      </c>
      <c r="D113" s="162" t="s">
        <v>290</v>
      </c>
      <c r="E113" s="199">
        <f aca="true" t="shared" si="5" ref="E113:F128">+G113+K113</f>
        <v>95.4</v>
      </c>
      <c r="F113" s="199">
        <f t="shared" si="5"/>
        <v>94.9</v>
      </c>
      <c r="G113" s="199">
        <f>88.9+6.5</f>
        <v>95.4</v>
      </c>
      <c r="H113" s="199">
        <v>94.9</v>
      </c>
      <c r="I113" s="153">
        <f>64.5+5.1</f>
        <v>69.6</v>
      </c>
      <c r="J113" s="153">
        <v>69.6</v>
      </c>
      <c r="K113" s="153"/>
      <c r="L113" s="143"/>
      <c r="M113" s="1"/>
      <c r="N113" s="1"/>
    </row>
    <row r="114" spans="1:14" ht="15" customHeight="1">
      <c r="A114" s="73" t="s">
        <v>436</v>
      </c>
      <c r="B114" s="9"/>
      <c r="C114" s="204" t="s">
        <v>367</v>
      </c>
      <c r="D114" s="124" t="s">
        <v>110</v>
      </c>
      <c r="E114" s="199">
        <f t="shared" si="5"/>
        <v>18</v>
      </c>
      <c r="F114" s="199">
        <f t="shared" si="5"/>
        <v>17.8</v>
      </c>
      <c r="G114" s="199">
        <v>18</v>
      </c>
      <c r="H114" s="199">
        <v>17.8</v>
      </c>
      <c r="I114" s="153"/>
      <c r="J114" s="153"/>
      <c r="K114" s="153"/>
      <c r="L114" s="143"/>
      <c r="M114" s="1"/>
      <c r="N114" s="1"/>
    </row>
    <row r="115" spans="1:14" ht="15" customHeight="1">
      <c r="A115" s="187" t="s">
        <v>437</v>
      </c>
      <c r="B115" s="9"/>
      <c r="C115" s="204" t="s">
        <v>368</v>
      </c>
      <c r="D115" s="124" t="s">
        <v>111</v>
      </c>
      <c r="E115" s="199">
        <f t="shared" si="5"/>
        <v>10.2</v>
      </c>
      <c r="F115" s="199">
        <f t="shared" si="5"/>
        <v>10.2</v>
      </c>
      <c r="G115" s="199">
        <v>10.2</v>
      </c>
      <c r="H115" s="199">
        <v>10.2</v>
      </c>
      <c r="I115" s="153"/>
      <c r="J115" s="153"/>
      <c r="K115" s="153"/>
      <c r="L115" s="143"/>
      <c r="M115" s="1"/>
      <c r="N115" s="1"/>
    </row>
    <row r="116" spans="1:14" ht="27.75" customHeight="1">
      <c r="A116" s="73" t="s">
        <v>438</v>
      </c>
      <c r="B116" s="9"/>
      <c r="C116" s="67" t="s">
        <v>309</v>
      </c>
      <c r="D116" s="124"/>
      <c r="E116" s="199">
        <f>+G116+K116</f>
        <v>651.8</v>
      </c>
      <c r="F116" s="199">
        <f>+H116+L116</f>
        <v>603.8</v>
      </c>
      <c r="G116" s="199">
        <f>SUM(G117:G125)</f>
        <v>437.3</v>
      </c>
      <c r="H116" s="199">
        <f>SUM(H117:H125)</f>
        <v>430.8</v>
      </c>
      <c r="I116" s="199">
        <f>SUM(I117:I125)</f>
        <v>0</v>
      </c>
      <c r="J116" s="199"/>
      <c r="K116" s="199">
        <f>SUM(K117:K125)</f>
        <v>214.5</v>
      </c>
      <c r="L116" s="199">
        <f>SUM(L117:L125)</f>
        <v>173</v>
      </c>
      <c r="M116" s="1"/>
      <c r="N116" s="1"/>
    </row>
    <row r="117" spans="1:14" ht="15" customHeight="1">
      <c r="A117" s="73" t="s">
        <v>439</v>
      </c>
      <c r="B117" s="9"/>
      <c r="C117" s="12" t="s">
        <v>298</v>
      </c>
      <c r="D117" s="124" t="s">
        <v>105</v>
      </c>
      <c r="E117" s="199">
        <f t="shared" si="5"/>
        <v>7.5</v>
      </c>
      <c r="F117" s="199">
        <f t="shared" si="5"/>
        <v>7.4</v>
      </c>
      <c r="G117" s="199">
        <v>7.5</v>
      </c>
      <c r="H117" s="199">
        <v>7.4</v>
      </c>
      <c r="I117" s="199"/>
      <c r="J117" s="199"/>
      <c r="K117" s="199"/>
      <c r="L117" s="143"/>
      <c r="M117" s="1"/>
      <c r="N117" s="1"/>
    </row>
    <row r="118" spans="1:14" ht="15" customHeight="1">
      <c r="A118" s="73" t="s">
        <v>440</v>
      </c>
      <c r="B118" s="9"/>
      <c r="C118" s="12" t="s">
        <v>231</v>
      </c>
      <c r="D118" s="124" t="s">
        <v>106</v>
      </c>
      <c r="E118" s="199">
        <f t="shared" si="5"/>
        <v>188</v>
      </c>
      <c r="F118" s="199">
        <f t="shared" si="5"/>
        <v>146.5</v>
      </c>
      <c r="G118" s="199"/>
      <c r="H118" s="199"/>
      <c r="I118" s="153"/>
      <c r="J118" s="153"/>
      <c r="K118" s="153">
        <v>188</v>
      </c>
      <c r="L118" s="143">
        <v>146.5</v>
      </c>
      <c r="M118" s="1"/>
      <c r="N118" s="1"/>
    </row>
    <row r="119" spans="1:14" ht="15" customHeight="1">
      <c r="A119" s="73" t="s">
        <v>441</v>
      </c>
      <c r="B119" s="9"/>
      <c r="C119" s="12" t="s">
        <v>299</v>
      </c>
      <c r="D119" s="124" t="s">
        <v>106</v>
      </c>
      <c r="E119" s="199">
        <f t="shared" si="5"/>
        <v>20</v>
      </c>
      <c r="F119" s="199">
        <f t="shared" si="5"/>
        <v>20</v>
      </c>
      <c r="G119" s="199">
        <v>20</v>
      </c>
      <c r="H119" s="199">
        <v>20</v>
      </c>
      <c r="I119" s="153"/>
      <c r="J119" s="153"/>
      <c r="K119" s="153"/>
      <c r="L119" s="143"/>
      <c r="M119" s="1"/>
      <c r="N119" s="1"/>
    </row>
    <row r="120" spans="1:14" ht="27" customHeight="1">
      <c r="A120" s="73" t="s">
        <v>442</v>
      </c>
      <c r="B120" s="9"/>
      <c r="C120" s="39" t="s">
        <v>401</v>
      </c>
      <c r="D120" s="124" t="s">
        <v>106</v>
      </c>
      <c r="E120" s="199">
        <f t="shared" si="5"/>
        <v>26.5</v>
      </c>
      <c r="F120" s="199">
        <f t="shared" si="5"/>
        <v>26.5</v>
      </c>
      <c r="G120" s="199"/>
      <c r="H120" s="199"/>
      <c r="I120" s="153"/>
      <c r="J120" s="153"/>
      <c r="K120" s="153">
        <f>68-41.5</f>
        <v>26.5</v>
      </c>
      <c r="L120" s="143">
        <v>26.5</v>
      </c>
      <c r="M120" s="1"/>
      <c r="N120" s="1"/>
    </row>
    <row r="121" spans="1:14" ht="36" customHeight="1">
      <c r="A121" s="73" t="s">
        <v>443</v>
      </c>
      <c r="B121" s="9"/>
      <c r="C121" s="39" t="s">
        <v>232</v>
      </c>
      <c r="D121" s="162" t="s">
        <v>622</v>
      </c>
      <c r="E121" s="199">
        <f t="shared" si="5"/>
        <v>12.5</v>
      </c>
      <c r="F121" s="199">
        <f t="shared" si="5"/>
        <v>12.5</v>
      </c>
      <c r="G121" s="199">
        <f>10+2.5</f>
        <v>12.5</v>
      </c>
      <c r="H121" s="199">
        <v>12.5</v>
      </c>
      <c r="I121" s="153"/>
      <c r="J121" s="153"/>
      <c r="K121" s="153"/>
      <c r="L121" s="143"/>
      <c r="M121" s="1"/>
      <c r="N121" s="1"/>
    </row>
    <row r="122" spans="1:14" ht="71.25" customHeight="1">
      <c r="A122" s="73" t="s">
        <v>444</v>
      </c>
      <c r="B122" s="9"/>
      <c r="C122" s="39" t="s">
        <v>233</v>
      </c>
      <c r="D122" s="162" t="s">
        <v>250</v>
      </c>
      <c r="E122" s="199">
        <f t="shared" si="5"/>
        <v>27</v>
      </c>
      <c r="F122" s="199">
        <f t="shared" si="5"/>
        <v>25.8</v>
      </c>
      <c r="G122" s="199">
        <f>15+12</f>
        <v>27</v>
      </c>
      <c r="H122" s="199">
        <v>25.8</v>
      </c>
      <c r="I122" s="153"/>
      <c r="J122" s="153"/>
      <c r="K122" s="153"/>
      <c r="L122" s="143"/>
      <c r="M122" s="1"/>
      <c r="N122" s="1"/>
    </row>
    <row r="123" spans="1:14" ht="12.75">
      <c r="A123" s="73" t="s">
        <v>445</v>
      </c>
      <c r="B123" s="9"/>
      <c r="C123" s="39" t="s">
        <v>300</v>
      </c>
      <c r="D123" s="124" t="s">
        <v>106</v>
      </c>
      <c r="E123" s="199">
        <f aca="true" t="shared" si="6" ref="E123:F126">+G123+K123</f>
        <v>15</v>
      </c>
      <c r="F123" s="199">
        <f t="shared" si="6"/>
        <v>15</v>
      </c>
      <c r="G123" s="199">
        <v>15</v>
      </c>
      <c r="H123" s="199">
        <v>15</v>
      </c>
      <c r="I123" s="153"/>
      <c r="J123" s="153"/>
      <c r="K123" s="153">
        <f>15-15</f>
        <v>0</v>
      </c>
      <c r="L123" s="143"/>
      <c r="M123" s="1"/>
      <c r="N123" s="1"/>
    </row>
    <row r="124" spans="1:14" ht="17.25" customHeight="1">
      <c r="A124" s="73" t="s">
        <v>446</v>
      </c>
      <c r="B124" s="9"/>
      <c r="C124" s="39" t="s">
        <v>301</v>
      </c>
      <c r="D124" s="124" t="s">
        <v>106</v>
      </c>
      <c r="E124" s="199">
        <f t="shared" si="6"/>
        <v>45</v>
      </c>
      <c r="F124" s="199">
        <f t="shared" si="6"/>
        <v>45</v>
      </c>
      <c r="G124" s="199">
        <v>45</v>
      </c>
      <c r="H124" s="199">
        <v>45</v>
      </c>
      <c r="I124" s="153"/>
      <c r="J124" s="153"/>
      <c r="K124" s="153"/>
      <c r="L124" s="143"/>
      <c r="M124" s="1"/>
      <c r="N124" s="1"/>
    </row>
    <row r="125" spans="1:14" ht="72">
      <c r="A125" s="73" t="s">
        <v>447</v>
      </c>
      <c r="B125" s="9"/>
      <c r="C125" s="39" t="s">
        <v>302</v>
      </c>
      <c r="D125" s="162" t="s">
        <v>354</v>
      </c>
      <c r="E125" s="199">
        <f t="shared" si="6"/>
        <v>310.3</v>
      </c>
      <c r="F125" s="199">
        <f t="shared" si="6"/>
        <v>305.1</v>
      </c>
      <c r="G125" s="199">
        <f>250+60.3</f>
        <v>310.3</v>
      </c>
      <c r="H125" s="199">
        <v>305.1</v>
      </c>
      <c r="I125" s="153"/>
      <c r="J125" s="153"/>
      <c r="K125" s="153"/>
      <c r="L125" s="143"/>
      <c r="M125" s="1"/>
      <c r="N125" s="1"/>
    </row>
    <row r="126" spans="1:14" ht="15" customHeight="1">
      <c r="A126" s="55">
        <v>34</v>
      </c>
      <c r="B126" s="7" t="s">
        <v>112</v>
      </c>
      <c r="C126" s="10" t="s">
        <v>113</v>
      </c>
      <c r="D126" s="205"/>
      <c r="E126" s="155">
        <f t="shared" si="6"/>
        <v>476.79999999999995</v>
      </c>
      <c r="F126" s="155">
        <f t="shared" si="6"/>
        <v>453</v>
      </c>
      <c r="G126" s="155">
        <f aca="true" t="shared" si="7" ref="G126:L126">+G127+G129</f>
        <v>378.09999999999997</v>
      </c>
      <c r="H126" s="155">
        <f t="shared" si="7"/>
        <v>373.7</v>
      </c>
      <c r="I126" s="155">
        <f t="shared" si="7"/>
        <v>22.4</v>
      </c>
      <c r="J126" s="155">
        <f t="shared" si="7"/>
        <v>22.4</v>
      </c>
      <c r="K126" s="155">
        <f t="shared" si="7"/>
        <v>98.7</v>
      </c>
      <c r="L126" s="155">
        <f t="shared" si="7"/>
        <v>79.3</v>
      </c>
      <c r="M126" s="1"/>
      <c r="N126" s="1"/>
    </row>
    <row r="127" spans="1:14" ht="15" customHeight="1">
      <c r="A127" s="232">
        <v>35</v>
      </c>
      <c r="B127" s="239"/>
      <c r="C127" s="61" t="s">
        <v>94</v>
      </c>
      <c r="D127" s="235" t="s">
        <v>114</v>
      </c>
      <c r="E127" s="153">
        <f t="shared" si="5"/>
        <v>30.4</v>
      </c>
      <c r="F127" s="153">
        <f t="shared" si="5"/>
        <v>30.3</v>
      </c>
      <c r="G127" s="153">
        <f>27.8+G128+1+1.2</f>
        <v>30.4</v>
      </c>
      <c r="H127" s="153">
        <v>30.3</v>
      </c>
      <c r="I127" s="153">
        <f>21.2+I128+0.9</f>
        <v>22.4</v>
      </c>
      <c r="J127" s="153">
        <v>22.4</v>
      </c>
      <c r="K127" s="153"/>
      <c r="L127" s="143"/>
      <c r="M127" s="1"/>
      <c r="N127" s="1"/>
    </row>
    <row r="128" spans="1:14" ht="15" customHeight="1">
      <c r="A128" s="232"/>
      <c r="B128" s="239"/>
      <c r="C128" s="200" t="s">
        <v>420</v>
      </c>
      <c r="D128" s="235"/>
      <c r="E128" s="153">
        <f t="shared" si="5"/>
        <v>0.4</v>
      </c>
      <c r="F128" s="153">
        <f t="shared" si="5"/>
        <v>0.4</v>
      </c>
      <c r="G128" s="153">
        <v>0.4</v>
      </c>
      <c r="H128" s="153">
        <v>0.4</v>
      </c>
      <c r="I128" s="153">
        <v>0.3</v>
      </c>
      <c r="J128" s="153">
        <v>0.3</v>
      </c>
      <c r="K128" s="153"/>
      <c r="L128" s="143"/>
      <c r="M128" s="1"/>
      <c r="N128" s="1"/>
    </row>
    <row r="129" spans="1:14" ht="15" customHeight="1">
      <c r="A129" s="55">
        <v>36</v>
      </c>
      <c r="B129" s="9"/>
      <c r="C129" s="64" t="s">
        <v>108</v>
      </c>
      <c r="D129" s="162"/>
      <c r="E129" s="153">
        <f>+G129+K129</f>
        <v>446.4</v>
      </c>
      <c r="F129" s="153">
        <f>+H129+L129</f>
        <v>422.7</v>
      </c>
      <c r="G129" s="153">
        <f>SUM(G130:G147)</f>
        <v>347.7</v>
      </c>
      <c r="H129" s="153">
        <f>SUM(H130:H147)</f>
        <v>343.4</v>
      </c>
      <c r="I129" s="153">
        <f>SUM(I130:I147)</f>
        <v>0</v>
      </c>
      <c r="J129" s="153"/>
      <c r="K129" s="153">
        <f>SUM(K130:K147)</f>
        <v>98.7</v>
      </c>
      <c r="L129" s="153">
        <f>SUM(L130:L147)</f>
        <v>79.3</v>
      </c>
      <c r="M129" s="1"/>
      <c r="N129" s="1"/>
    </row>
    <row r="130" spans="1:14" ht="15" customHeight="1">
      <c r="A130" s="55"/>
      <c r="B130" s="9"/>
      <c r="C130" s="38" t="s">
        <v>216</v>
      </c>
      <c r="D130" s="124"/>
      <c r="E130" s="153"/>
      <c r="F130" s="153"/>
      <c r="G130" s="153"/>
      <c r="H130" s="153"/>
      <c r="I130" s="153"/>
      <c r="J130" s="153"/>
      <c r="K130" s="153"/>
      <c r="L130" s="143"/>
      <c r="M130" s="1"/>
      <c r="N130" s="1"/>
    </row>
    <row r="131" spans="1:14" ht="15" customHeight="1">
      <c r="A131" s="73" t="s">
        <v>448</v>
      </c>
      <c r="B131" s="9"/>
      <c r="C131" s="66" t="s">
        <v>3</v>
      </c>
      <c r="D131" s="124" t="s">
        <v>188</v>
      </c>
      <c r="E131" s="153">
        <f aca="true" t="shared" si="8" ref="E131:F151">+G131+K131</f>
        <v>1</v>
      </c>
      <c r="F131" s="153">
        <f t="shared" si="8"/>
        <v>1</v>
      </c>
      <c r="G131" s="153">
        <v>1</v>
      </c>
      <c r="H131" s="153">
        <v>1</v>
      </c>
      <c r="I131" s="153"/>
      <c r="J131" s="153"/>
      <c r="K131" s="153"/>
      <c r="L131" s="143"/>
      <c r="M131" s="1"/>
      <c r="N131" s="1"/>
    </row>
    <row r="132" spans="1:14" ht="25.5">
      <c r="A132" s="73" t="s">
        <v>449</v>
      </c>
      <c r="B132" s="9"/>
      <c r="C132" s="166" t="s">
        <v>352</v>
      </c>
      <c r="D132" s="162" t="s">
        <v>116</v>
      </c>
      <c r="E132" s="153">
        <f t="shared" si="8"/>
        <v>10</v>
      </c>
      <c r="F132" s="153">
        <f t="shared" si="8"/>
        <v>10</v>
      </c>
      <c r="G132" s="153">
        <v>10</v>
      </c>
      <c r="H132" s="153">
        <v>10</v>
      </c>
      <c r="I132" s="153"/>
      <c r="J132" s="153"/>
      <c r="K132" s="153"/>
      <c r="L132" s="143"/>
      <c r="M132" s="1"/>
      <c r="N132" s="1"/>
    </row>
    <row r="133" spans="1:14" ht="15" customHeight="1">
      <c r="A133" s="73" t="s">
        <v>450</v>
      </c>
      <c r="B133" s="9"/>
      <c r="C133" s="166" t="s">
        <v>353</v>
      </c>
      <c r="D133" s="162" t="s">
        <v>117</v>
      </c>
      <c r="E133" s="153">
        <f t="shared" si="8"/>
        <v>10.5</v>
      </c>
      <c r="F133" s="153">
        <f t="shared" si="8"/>
        <v>8.5</v>
      </c>
      <c r="G133" s="153">
        <v>10.5</v>
      </c>
      <c r="H133" s="153">
        <v>8.5</v>
      </c>
      <c r="I133" s="153"/>
      <c r="J133" s="153"/>
      <c r="K133" s="153"/>
      <c r="L133" s="143"/>
      <c r="M133" s="1"/>
      <c r="N133" s="1"/>
    </row>
    <row r="134" spans="1:14" ht="25.5">
      <c r="A134" s="73" t="s">
        <v>451</v>
      </c>
      <c r="B134" s="9"/>
      <c r="C134" s="166" t="s">
        <v>351</v>
      </c>
      <c r="D134" s="162" t="s">
        <v>116</v>
      </c>
      <c r="E134" s="153">
        <f t="shared" si="8"/>
        <v>20</v>
      </c>
      <c r="F134" s="153">
        <f t="shared" si="8"/>
        <v>20</v>
      </c>
      <c r="G134" s="153">
        <f>18+2</f>
        <v>20</v>
      </c>
      <c r="H134" s="153">
        <v>20</v>
      </c>
      <c r="I134" s="153"/>
      <c r="J134" s="153"/>
      <c r="K134" s="153"/>
      <c r="L134" s="143"/>
      <c r="M134" s="1"/>
      <c r="N134" s="1"/>
    </row>
    <row r="135" spans="1:14" ht="25.5">
      <c r="A135" s="73" t="s">
        <v>452</v>
      </c>
      <c r="B135" s="9"/>
      <c r="C135" s="166" t="s">
        <v>292</v>
      </c>
      <c r="D135" s="162" t="s">
        <v>115</v>
      </c>
      <c r="E135" s="153">
        <f t="shared" si="8"/>
        <v>12.1</v>
      </c>
      <c r="F135" s="153">
        <f t="shared" si="8"/>
        <v>12.1</v>
      </c>
      <c r="G135" s="153">
        <v>12.1</v>
      </c>
      <c r="H135" s="153">
        <v>12.1</v>
      </c>
      <c r="I135" s="153"/>
      <c r="J135" s="153"/>
      <c r="K135" s="153"/>
      <c r="L135" s="143"/>
      <c r="M135" s="1"/>
      <c r="N135" s="1"/>
    </row>
    <row r="136" spans="1:14" ht="25.5">
      <c r="A136" s="73" t="s">
        <v>453</v>
      </c>
      <c r="B136" s="9"/>
      <c r="C136" s="166" t="s">
        <v>291</v>
      </c>
      <c r="D136" s="162" t="s">
        <v>115</v>
      </c>
      <c r="E136" s="153">
        <f t="shared" si="8"/>
        <v>5.6</v>
      </c>
      <c r="F136" s="153">
        <f t="shared" si="8"/>
        <v>5.6</v>
      </c>
      <c r="G136" s="153">
        <v>5.6</v>
      </c>
      <c r="H136" s="153">
        <v>5.6</v>
      </c>
      <c r="I136" s="153"/>
      <c r="J136" s="153"/>
      <c r="K136" s="153"/>
      <c r="L136" s="143"/>
      <c r="M136" s="1"/>
      <c r="N136" s="1"/>
    </row>
    <row r="137" spans="1:14" ht="25.5">
      <c r="A137" s="73" t="s">
        <v>454</v>
      </c>
      <c r="B137" s="9"/>
      <c r="C137" s="166" t="s">
        <v>293</v>
      </c>
      <c r="D137" s="162" t="s">
        <v>115</v>
      </c>
      <c r="E137" s="153">
        <f t="shared" si="8"/>
        <v>5.9</v>
      </c>
      <c r="F137" s="153">
        <f t="shared" si="8"/>
        <v>5.9</v>
      </c>
      <c r="G137" s="153">
        <v>5.9</v>
      </c>
      <c r="H137" s="153">
        <v>5.9</v>
      </c>
      <c r="I137" s="153"/>
      <c r="J137" s="153"/>
      <c r="K137" s="153"/>
      <c r="L137" s="143"/>
      <c r="M137" s="1"/>
      <c r="N137" s="1"/>
    </row>
    <row r="138" spans="1:14" ht="25.5">
      <c r="A138" s="73" t="s">
        <v>455</v>
      </c>
      <c r="B138" s="9"/>
      <c r="C138" s="166" t="s">
        <v>349</v>
      </c>
      <c r="D138" s="162" t="s">
        <v>115</v>
      </c>
      <c r="E138" s="153">
        <f>+G138+K138</f>
        <v>13.2</v>
      </c>
      <c r="F138" s="153">
        <f>+H138+L138</f>
        <v>13.2</v>
      </c>
      <c r="G138" s="153">
        <v>13.2</v>
      </c>
      <c r="H138" s="153">
        <v>13.2</v>
      </c>
      <c r="I138" s="153"/>
      <c r="J138" s="153"/>
      <c r="K138" s="153"/>
      <c r="L138" s="143"/>
      <c r="M138" s="1"/>
      <c r="N138" s="1"/>
    </row>
    <row r="139" spans="1:14" ht="25.5">
      <c r="A139" s="73" t="s">
        <v>456</v>
      </c>
      <c r="B139" s="9"/>
      <c r="C139" s="166" t="s">
        <v>350</v>
      </c>
      <c r="D139" s="162" t="s">
        <v>115</v>
      </c>
      <c r="E139" s="153">
        <f t="shared" si="8"/>
        <v>18.6</v>
      </c>
      <c r="F139" s="153">
        <f t="shared" si="8"/>
        <v>18.6</v>
      </c>
      <c r="G139" s="153">
        <v>18.6</v>
      </c>
      <c r="H139" s="153">
        <v>18.6</v>
      </c>
      <c r="I139" s="153"/>
      <c r="J139" s="153"/>
      <c r="K139" s="153"/>
      <c r="L139" s="143"/>
      <c r="M139" s="1"/>
      <c r="N139" s="1"/>
    </row>
    <row r="140" spans="1:14" ht="25.5">
      <c r="A140" s="73" t="s">
        <v>457</v>
      </c>
      <c r="B140" s="9"/>
      <c r="C140" s="166" t="s">
        <v>369</v>
      </c>
      <c r="D140" s="162" t="s">
        <v>115</v>
      </c>
      <c r="E140" s="153">
        <f t="shared" si="8"/>
        <v>20</v>
      </c>
      <c r="F140" s="153">
        <f t="shared" si="8"/>
        <v>20</v>
      </c>
      <c r="G140" s="153">
        <v>20</v>
      </c>
      <c r="H140" s="153">
        <v>20</v>
      </c>
      <c r="I140" s="153"/>
      <c r="J140" s="153"/>
      <c r="K140" s="153"/>
      <c r="L140" s="143"/>
      <c r="M140" s="1"/>
      <c r="N140" s="1"/>
    </row>
    <row r="141" spans="1:14" ht="25.5">
      <c r="A141" s="73" t="s">
        <v>458</v>
      </c>
      <c r="B141" s="9"/>
      <c r="C141" s="166" t="s">
        <v>248</v>
      </c>
      <c r="D141" s="162" t="s">
        <v>253</v>
      </c>
      <c r="E141" s="153">
        <f t="shared" si="8"/>
        <v>12.5</v>
      </c>
      <c r="F141" s="153">
        <f t="shared" si="8"/>
        <v>12.5</v>
      </c>
      <c r="G141" s="153">
        <v>12.5</v>
      </c>
      <c r="H141" s="153">
        <v>12.5</v>
      </c>
      <c r="I141" s="153"/>
      <c r="J141" s="153"/>
      <c r="K141" s="153"/>
      <c r="L141" s="143"/>
      <c r="M141" s="1"/>
      <c r="N141" s="1"/>
    </row>
    <row r="142" spans="1:14" ht="25.5">
      <c r="A142" s="73" t="s">
        <v>459</v>
      </c>
      <c r="B142" s="9"/>
      <c r="C142" s="166" t="s">
        <v>294</v>
      </c>
      <c r="D142" s="162" t="s">
        <v>253</v>
      </c>
      <c r="E142" s="153">
        <f t="shared" si="8"/>
        <v>4</v>
      </c>
      <c r="F142" s="153">
        <f t="shared" si="8"/>
        <v>4</v>
      </c>
      <c r="G142" s="153">
        <v>4</v>
      </c>
      <c r="H142" s="153">
        <v>4</v>
      </c>
      <c r="I142" s="153"/>
      <c r="J142" s="153"/>
      <c r="K142" s="153"/>
      <c r="L142" s="143"/>
      <c r="M142" s="1"/>
      <c r="N142" s="1"/>
    </row>
    <row r="143" spans="1:14" ht="25.5">
      <c r="A143" s="73" t="s">
        <v>460</v>
      </c>
      <c r="B143" s="9"/>
      <c r="C143" s="166" t="s">
        <v>295</v>
      </c>
      <c r="D143" s="162" t="s">
        <v>115</v>
      </c>
      <c r="E143" s="153">
        <f t="shared" si="8"/>
        <v>83.2</v>
      </c>
      <c r="F143" s="153">
        <f t="shared" si="8"/>
        <v>83.2</v>
      </c>
      <c r="G143" s="153">
        <v>83.2</v>
      </c>
      <c r="H143" s="153">
        <v>83.2</v>
      </c>
      <c r="I143" s="153"/>
      <c r="J143" s="153"/>
      <c r="K143" s="153"/>
      <c r="L143" s="143"/>
      <c r="M143" s="1"/>
      <c r="N143" s="1"/>
    </row>
    <row r="144" spans="1:14" ht="27.75" customHeight="1">
      <c r="A144" s="73" t="s">
        <v>461</v>
      </c>
      <c r="B144" s="9"/>
      <c r="C144" s="166" t="s">
        <v>296</v>
      </c>
      <c r="D144" s="162" t="s">
        <v>253</v>
      </c>
      <c r="E144" s="153">
        <f t="shared" si="8"/>
        <v>50</v>
      </c>
      <c r="F144" s="153">
        <f t="shared" si="8"/>
        <v>50</v>
      </c>
      <c r="G144" s="153">
        <v>50</v>
      </c>
      <c r="H144" s="153">
        <v>50</v>
      </c>
      <c r="I144" s="153"/>
      <c r="J144" s="153"/>
      <c r="K144" s="153"/>
      <c r="L144" s="143"/>
      <c r="M144" s="1"/>
      <c r="N144" s="1"/>
    </row>
    <row r="145" spans="1:14" ht="25.5">
      <c r="A145" s="73" t="s">
        <v>462</v>
      </c>
      <c r="B145" s="9"/>
      <c r="C145" s="166" t="s">
        <v>297</v>
      </c>
      <c r="D145" s="162" t="s">
        <v>115</v>
      </c>
      <c r="E145" s="153">
        <f t="shared" si="8"/>
        <v>21.4</v>
      </c>
      <c r="F145" s="153">
        <f t="shared" si="8"/>
        <v>21.4</v>
      </c>
      <c r="G145" s="153">
        <v>21.4</v>
      </c>
      <c r="H145" s="153">
        <v>21.4</v>
      </c>
      <c r="I145" s="153"/>
      <c r="J145" s="153"/>
      <c r="K145" s="153"/>
      <c r="L145" s="143"/>
      <c r="M145" s="1"/>
      <c r="N145" s="1"/>
    </row>
    <row r="146" spans="1:14" ht="15" customHeight="1">
      <c r="A146" s="73" t="s">
        <v>463</v>
      </c>
      <c r="B146" s="9"/>
      <c r="C146" s="166" t="s">
        <v>633</v>
      </c>
      <c r="D146" s="162" t="s">
        <v>118</v>
      </c>
      <c r="E146" s="153">
        <f t="shared" si="8"/>
        <v>42</v>
      </c>
      <c r="F146" s="153">
        <f t="shared" si="8"/>
        <v>41.5</v>
      </c>
      <c r="G146" s="153">
        <f>41+1</f>
        <v>42</v>
      </c>
      <c r="H146" s="153">
        <v>41.5</v>
      </c>
      <c r="I146" s="153"/>
      <c r="J146" s="153"/>
      <c r="K146" s="153"/>
      <c r="L146" s="143"/>
      <c r="M146" s="1"/>
      <c r="N146" s="1"/>
    </row>
    <row r="147" spans="1:14" ht="25.5">
      <c r="A147" s="73" t="s">
        <v>464</v>
      </c>
      <c r="B147" s="9"/>
      <c r="C147" s="67" t="s">
        <v>309</v>
      </c>
      <c r="D147" s="162"/>
      <c r="E147" s="153">
        <f t="shared" si="8"/>
        <v>116.4</v>
      </c>
      <c r="F147" s="153">
        <f t="shared" si="8"/>
        <v>95.2</v>
      </c>
      <c r="G147" s="153">
        <f>SUM(G148:G151)</f>
        <v>17.7</v>
      </c>
      <c r="H147" s="153">
        <f>SUM(H148:H151)</f>
        <v>15.9</v>
      </c>
      <c r="I147" s="153">
        <f>SUM(I148:I151)</f>
        <v>0</v>
      </c>
      <c r="J147" s="153"/>
      <c r="K147" s="153">
        <f>SUM(K148:K151)</f>
        <v>98.7</v>
      </c>
      <c r="L147" s="153">
        <f>SUM(L148:L151)</f>
        <v>79.3</v>
      </c>
      <c r="M147" s="1"/>
      <c r="N147" s="1"/>
    </row>
    <row r="148" spans="1:14" ht="38.25">
      <c r="A148" s="73" t="s">
        <v>465</v>
      </c>
      <c r="B148" s="9"/>
      <c r="C148" s="41" t="s">
        <v>234</v>
      </c>
      <c r="D148" s="162" t="s">
        <v>117</v>
      </c>
      <c r="E148" s="153">
        <f t="shared" si="8"/>
        <v>8.7</v>
      </c>
      <c r="F148" s="153">
        <f t="shared" si="8"/>
        <v>1.3</v>
      </c>
      <c r="G148" s="153"/>
      <c r="H148" s="153"/>
      <c r="I148" s="153"/>
      <c r="J148" s="153"/>
      <c r="K148" s="153">
        <v>8.7</v>
      </c>
      <c r="L148" s="143">
        <v>1.3</v>
      </c>
      <c r="M148" s="1"/>
      <c r="N148" s="1"/>
    </row>
    <row r="149" spans="1:14" ht="12.75">
      <c r="A149" s="73" t="s">
        <v>466</v>
      </c>
      <c r="B149" s="9"/>
      <c r="C149" s="41" t="s">
        <v>303</v>
      </c>
      <c r="D149" s="162" t="s">
        <v>117</v>
      </c>
      <c r="E149" s="153">
        <f t="shared" si="8"/>
        <v>90</v>
      </c>
      <c r="F149" s="153">
        <f t="shared" si="8"/>
        <v>78</v>
      </c>
      <c r="G149" s="153"/>
      <c r="H149" s="153"/>
      <c r="I149" s="153"/>
      <c r="J149" s="153"/>
      <c r="K149" s="153">
        <v>90</v>
      </c>
      <c r="L149" s="143">
        <v>78</v>
      </c>
      <c r="M149" s="1"/>
      <c r="N149" s="1"/>
    </row>
    <row r="150" spans="1:14" ht="28.5" customHeight="1">
      <c r="A150" s="73" t="s">
        <v>467</v>
      </c>
      <c r="B150" s="9"/>
      <c r="C150" s="41" t="s">
        <v>304</v>
      </c>
      <c r="D150" s="162" t="s">
        <v>117</v>
      </c>
      <c r="E150" s="153">
        <f t="shared" si="8"/>
        <v>7.7</v>
      </c>
      <c r="F150" s="153">
        <f t="shared" si="8"/>
        <v>7.4</v>
      </c>
      <c r="G150" s="153">
        <v>7.7</v>
      </c>
      <c r="H150" s="153">
        <v>7.4</v>
      </c>
      <c r="I150" s="153"/>
      <c r="J150" s="153"/>
      <c r="K150" s="153"/>
      <c r="L150" s="143"/>
      <c r="N150" s="1"/>
    </row>
    <row r="151" spans="1:14" ht="15" customHeight="1">
      <c r="A151" s="73" t="s">
        <v>468</v>
      </c>
      <c r="B151" s="9"/>
      <c r="C151" s="41" t="s">
        <v>305</v>
      </c>
      <c r="D151" s="162" t="s">
        <v>355</v>
      </c>
      <c r="E151" s="153">
        <f t="shared" si="8"/>
        <v>10</v>
      </c>
      <c r="F151" s="153">
        <f t="shared" si="8"/>
        <v>8.5</v>
      </c>
      <c r="G151" s="153">
        <v>10</v>
      </c>
      <c r="H151" s="153">
        <v>8.5</v>
      </c>
      <c r="I151" s="153"/>
      <c r="J151" s="153"/>
      <c r="K151" s="153"/>
      <c r="L151" s="143"/>
      <c r="N151" s="1"/>
    </row>
    <row r="152" spans="1:14" ht="15" customHeight="1">
      <c r="A152" s="55">
        <v>37</v>
      </c>
      <c r="B152" s="7" t="s">
        <v>21</v>
      </c>
      <c r="C152" s="10" t="s">
        <v>22</v>
      </c>
      <c r="D152" s="205"/>
      <c r="E152" s="79">
        <f aca="true" t="shared" si="9" ref="E152:L152">+E153+E158+E160+E162+E164+E166+E186+E188+E189+E190+E191+E192+E193+E194+E196+E197+E198</f>
        <v>4692.499999999999</v>
      </c>
      <c r="F152" s="79">
        <f t="shared" si="9"/>
        <v>4196.2</v>
      </c>
      <c r="G152" s="79">
        <f t="shared" si="9"/>
        <v>4600.799999999999</v>
      </c>
      <c r="H152" s="79">
        <f t="shared" si="9"/>
        <v>4108</v>
      </c>
      <c r="I152" s="79">
        <f t="shared" si="9"/>
        <v>988.2000000000002</v>
      </c>
      <c r="J152" s="79">
        <f t="shared" si="9"/>
        <v>986.7000000000002</v>
      </c>
      <c r="K152" s="79">
        <f t="shared" si="9"/>
        <v>91.7</v>
      </c>
      <c r="L152" s="79">
        <f t="shared" si="9"/>
        <v>88.2</v>
      </c>
      <c r="M152" s="1"/>
      <c r="N152" s="1"/>
    </row>
    <row r="153" spans="1:14" ht="15" customHeight="1">
      <c r="A153" s="232">
        <v>38</v>
      </c>
      <c r="B153" s="231"/>
      <c r="C153" s="66" t="s">
        <v>1</v>
      </c>
      <c r="D153" s="235" t="s">
        <v>119</v>
      </c>
      <c r="E153" s="153">
        <f aca="true" t="shared" si="10" ref="E153:F165">+G153+K153</f>
        <v>496.7</v>
      </c>
      <c r="F153" s="153">
        <f t="shared" si="10"/>
        <v>483.2</v>
      </c>
      <c r="G153" s="153">
        <f>474.1+G157+2.9+14.4</f>
        <v>495.7</v>
      </c>
      <c r="H153" s="153">
        <v>482.2</v>
      </c>
      <c r="I153" s="153">
        <f>219.5+I157+9.5</f>
        <v>232.3</v>
      </c>
      <c r="J153" s="153">
        <v>232.3</v>
      </c>
      <c r="K153" s="153">
        <v>1</v>
      </c>
      <c r="L153" s="143">
        <v>1</v>
      </c>
      <c r="M153" s="1"/>
      <c r="N153" s="1"/>
    </row>
    <row r="154" spans="1:14" ht="15" customHeight="1">
      <c r="A154" s="232"/>
      <c r="B154" s="231"/>
      <c r="C154" s="66" t="s">
        <v>121</v>
      </c>
      <c r="D154" s="235"/>
      <c r="E154" s="153"/>
      <c r="F154" s="153"/>
      <c r="G154" s="153"/>
      <c r="H154" s="153"/>
      <c r="I154" s="153"/>
      <c r="J154" s="153"/>
      <c r="K154" s="153"/>
      <c r="L154" s="143"/>
      <c r="M154" s="1"/>
      <c r="N154" s="1"/>
    </row>
    <row r="155" spans="1:14" ht="15" customHeight="1">
      <c r="A155" s="232"/>
      <c r="B155" s="231"/>
      <c r="C155" s="20" t="s">
        <v>370</v>
      </c>
      <c r="D155" s="235"/>
      <c r="E155" s="153">
        <f t="shared" si="10"/>
        <v>163.4</v>
      </c>
      <c r="F155" s="201">
        <f t="shared" si="10"/>
        <v>0</v>
      </c>
      <c r="G155" s="153">
        <f>155.4+8</f>
        <v>163.4</v>
      </c>
      <c r="H155" s="201">
        <v>0</v>
      </c>
      <c r="I155" s="153"/>
      <c r="J155" s="153"/>
      <c r="K155" s="153"/>
      <c r="L155" s="143"/>
      <c r="M155" s="1"/>
      <c r="N155" s="1"/>
    </row>
    <row r="156" spans="1:14" ht="15" customHeight="1">
      <c r="A156" s="232"/>
      <c r="B156" s="231"/>
      <c r="C156" s="200" t="s">
        <v>371</v>
      </c>
      <c r="D156" s="235"/>
      <c r="E156" s="153">
        <f t="shared" si="10"/>
        <v>4.1</v>
      </c>
      <c r="F156" s="201">
        <f t="shared" si="10"/>
        <v>0</v>
      </c>
      <c r="G156" s="153">
        <v>4.1</v>
      </c>
      <c r="H156" s="201">
        <v>0</v>
      </c>
      <c r="I156" s="153"/>
      <c r="J156" s="153"/>
      <c r="K156" s="153"/>
      <c r="L156" s="143"/>
      <c r="M156" s="1"/>
      <c r="N156" s="1"/>
    </row>
    <row r="157" spans="1:14" ht="15" customHeight="1">
      <c r="A157" s="232"/>
      <c r="B157" s="231"/>
      <c r="C157" s="200" t="s">
        <v>421</v>
      </c>
      <c r="D157" s="235"/>
      <c r="E157" s="153">
        <f t="shared" si="10"/>
        <v>4.3</v>
      </c>
      <c r="F157" s="153">
        <f t="shared" si="10"/>
        <v>4.3</v>
      </c>
      <c r="G157" s="153">
        <v>4.3</v>
      </c>
      <c r="H157" s="153">
        <v>4.3</v>
      </c>
      <c r="I157" s="153">
        <v>3.3</v>
      </c>
      <c r="J157" s="153">
        <v>3.3</v>
      </c>
      <c r="K157" s="153"/>
      <c r="L157" s="143"/>
      <c r="M157" s="1"/>
      <c r="N157" s="1"/>
    </row>
    <row r="158" spans="1:14" ht="15" customHeight="1">
      <c r="A158" s="232">
        <v>39</v>
      </c>
      <c r="B158" s="231"/>
      <c r="C158" s="33" t="s">
        <v>2</v>
      </c>
      <c r="D158" s="242" t="s">
        <v>120</v>
      </c>
      <c r="E158" s="153">
        <f t="shared" si="10"/>
        <v>136.2</v>
      </c>
      <c r="F158" s="153">
        <f t="shared" si="10"/>
        <v>135.7</v>
      </c>
      <c r="G158" s="153">
        <f>132.7+G159+1.5</f>
        <v>136.2</v>
      </c>
      <c r="H158" s="153">
        <v>135.7</v>
      </c>
      <c r="I158" s="153">
        <f>78.3+I159+1.2</f>
        <v>81</v>
      </c>
      <c r="J158" s="153">
        <v>81</v>
      </c>
      <c r="K158" s="153"/>
      <c r="L158" s="143"/>
      <c r="M158" s="1"/>
      <c r="N158" s="1"/>
    </row>
    <row r="159" spans="1:14" ht="15" customHeight="1">
      <c r="A159" s="232"/>
      <c r="B159" s="231"/>
      <c r="C159" s="200" t="s">
        <v>420</v>
      </c>
      <c r="D159" s="242"/>
      <c r="E159" s="153">
        <f t="shared" si="10"/>
        <v>2</v>
      </c>
      <c r="F159" s="153">
        <f t="shared" si="10"/>
        <v>2</v>
      </c>
      <c r="G159" s="153">
        <v>2</v>
      </c>
      <c r="H159" s="153">
        <v>2</v>
      </c>
      <c r="I159" s="153">
        <v>1.5</v>
      </c>
      <c r="J159" s="153">
        <v>1.5</v>
      </c>
      <c r="K159" s="153"/>
      <c r="L159" s="143"/>
      <c r="M159" s="1"/>
      <c r="N159" s="1"/>
    </row>
    <row r="160" spans="1:14" ht="15" customHeight="1">
      <c r="A160" s="232">
        <v>40</v>
      </c>
      <c r="B160" s="237"/>
      <c r="C160" s="203" t="s">
        <v>15</v>
      </c>
      <c r="D160" s="235" t="s">
        <v>169</v>
      </c>
      <c r="E160" s="153">
        <f t="shared" si="10"/>
        <v>92.1</v>
      </c>
      <c r="F160" s="153">
        <f t="shared" si="10"/>
        <v>92</v>
      </c>
      <c r="G160" s="153">
        <f>71.6+4.9+G161+6.3</f>
        <v>85.1</v>
      </c>
      <c r="H160" s="153">
        <v>85</v>
      </c>
      <c r="I160" s="153">
        <f>52.9+I161+3.2</f>
        <v>57.800000000000004</v>
      </c>
      <c r="J160" s="153">
        <v>57.8</v>
      </c>
      <c r="K160" s="153">
        <v>7</v>
      </c>
      <c r="L160" s="143">
        <v>7</v>
      </c>
      <c r="M160" s="1"/>
      <c r="N160" s="1"/>
    </row>
    <row r="161" spans="1:14" ht="15" customHeight="1">
      <c r="A161" s="232"/>
      <c r="B161" s="237"/>
      <c r="C161" s="200" t="s">
        <v>420</v>
      </c>
      <c r="D161" s="235"/>
      <c r="E161" s="153">
        <f t="shared" si="10"/>
        <v>2.3</v>
      </c>
      <c r="F161" s="153">
        <f t="shared" si="10"/>
        <v>2.3</v>
      </c>
      <c r="G161" s="153">
        <v>2.3</v>
      </c>
      <c r="H161" s="153">
        <v>2.3</v>
      </c>
      <c r="I161" s="153">
        <v>1.7</v>
      </c>
      <c r="J161" s="153">
        <v>1.7</v>
      </c>
      <c r="K161" s="153"/>
      <c r="L161" s="143"/>
      <c r="M161" s="1"/>
      <c r="N161" s="1"/>
    </row>
    <row r="162" spans="1:14" ht="15" customHeight="1">
      <c r="A162" s="232">
        <v>41</v>
      </c>
      <c r="B162" s="231"/>
      <c r="C162" s="203" t="s">
        <v>19</v>
      </c>
      <c r="D162" s="236" t="s">
        <v>120</v>
      </c>
      <c r="E162" s="153">
        <f t="shared" si="10"/>
        <v>130.1</v>
      </c>
      <c r="F162" s="153">
        <f t="shared" si="10"/>
        <v>129.9</v>
      </c>
      <c r="G162" s="153">
        <f>112+9.2+G163+5.6</f>
        <v>130.1</v>
      </c>
      <c r="H162" s="153">
        <v>129.9</v>
      </c>
      <c r="I162" s="153">
        <f>77.3+I163+4.3</f>
        <v>84.1</v>
      </c>
      <c r="J162" s="153">
        <v>84.1</v>
      </c>
      <c r="K162" s="153"/>
      <c r="L162" s="143"/>
      <c r="M162" s="1"/>
      <c r="N162" s="1"/>
    </row>
    <row r="163" spans="1:14" ht="15" customHeight="1">
      <c r="A163" s="232"/>
      <c r="B163" s="231"/>
      <c r="C163" s="200" t="s">
        <v>420</v>
      </c>
      <c r="D163" s="236"/>
      <c r="E163" s="153">
        <f t="shared" si="10"/>
        <v>3.3</v>
      </c>
      <c r="F163" s="153">
        <f t="shared" si="10"/>
        <v>3.3</v>
      </c>
      <c r="G163" s="153">
        <v>3.3</v>
      </c>
      <c r="H163" s="153">
        <v>3.3</v>
      </c>
      <c r="I163" s="153">
        <v>2.5</v>
      </c>
      <c r="J163" s="153">
        <v>2.5</v>
      </c>
      <c r="K163" s="153"/>
      <c r="L163" s="143"/>
      <c r="M163" s="1"/>
      <c r="N163" s="1"/>
    </row>
    <row r="164" spans="1:14" ht="15" customHeight="1">
      <c r="A164" s="232">
        <v>42</v>
      </c>
      <c r="B164" s="231"/>
      <c r="C164" s="66" t="s">
        <v>586</v>
      </c>
      <c r="D164" s="242" t="s">
        <v>23</v>
      </c>
      <c r="E164" s="153">
        <f t="shared" si="10"/>
        <v>494.6</v>
      </c>
      <c r="F164" s="153">
        <f t="shared" si="10"/>
        <v>494.59999999999997</v>
      </c>
      <c r="G164" s="153">
        <f>449.6+12.1+G165+1.6+22.2</f>
        <v>490.20000000000005</v>
      </c>
      <c r="H164" s="153">
        <v>490.2</v>
      </c>
      <c r="I164" s="153">
        <f>307+9.2+I165+1.2+4</f>
        <v>325</v>
      </c>
      <c r="J164" s="153">
        <v>325</v>
      </c>
      <c r="K164" s="153">
        <f>2+2.4</f>
        <v>4.4</v>
      </c>
      <c r="L164" s="143">
        <v>4.4</v>
      </c>
      <c r="M164" s="1"/>
      <c r="N164" s="1"/>
    </row>
    <row r="165" spans="1:14" ht="15" customHeight="1">
      <c r="A165" s="232"/>
      <c r="B165" s="231"/>
      <c r="C165" s="200" t="s">
        <v>420</v>
      </c>
      <c r="D165" s="242"/>
      <c r="E165" s="153">
        <f t="shared" si="10"/>
        <v>4.7</v>
      </c>
      <c r="F165" s="153">
        <f t="shared" si="10"/>
        <v>4.7</v>
      </c>
      <c r="G165" s="153">
        <v>4.7</v>
      </c>
      <c r="H165" s="153">
        <v>4.7</v>
      </c>
      <c r="I165" s="153">
        <v>3.6</v>
      </c>
      <c r="J165" s="153">
        <v>3.6</v>
      </c>
      <c r="K165" s="153"/>
      <c r="L165" s="143"/>
      <c r="M165" s="1"/>
      <c r="N165" s="1"/>
    </row>
    <row r="166" spans="1:14" ht="15" customHeight="1">
      <c r="A166" s="55">
        <v>43</v>
      </c>
      <c r="B166" s="9"/>
      <c r="C166" s="64" t="s">
        <v>108</v>
      </c>
      <c r="D166" s="124"/>
      <c r="E166" s="101">
        <f>+G166+K166</f>
        <v>1700.1999999999998</v>
      </c>
      <c r="F166" s="101">
        <f>+H166+L166</f>
        <v>1557.8</v>
      </c>
      <c r="G166" s="101">
        <f aca="true" t="shared" si="11" ref="G166:L166">+G168+G169+G170+G171+G172+G173+G174+G175+G176+G177</f>
        <v>1620.8999999999999</v>
      </c>
      <c r="H166" s="101">
        <f t="shared" si="11"/>
        <v>1482</v>
      </c>
      <c r="I166" s="101">
        <f t="shared" si="11"/>
        <v>27.1</v>
      </c>
      <c r="J166" s="101">
        <f t="shared" si="11"/>
        <v>26.9</v>
      </c>
      <c r="K166" s="101">
        <f t="shared" si="11"/>
        <v>79.3</v>
      </c>
      <c r="L166" s="101">
        <f t="shared" si="11"/>
        <v>75.8</v>
      </c>
      <c r="M166" s="1"/>
      <c r="N166" s="1"/>
    </row>
    <row r="167" spans="1:14" ht="15" customHeight="1">
      <c r="A167" s="55"/>
      <c r="B167" s="9"/>
      <c r="C167" s="38" t="s">
        <v>121</v>
      </c>
      <c r="D167" s="236" t="s">
        <v>356</v>
      </c>
      <c r="E167" s="153"/>
      <c r="F167" s="153"/>
      <c r="G167" s="153"/>
      <c r="H167" s="153"/>
      <c r="I167" s="153"/>
      <c r="J167" s="153"/>
      <c r="K167" s="153"/>
      <c r="L167" s="143"/>
      <c r="M167" s="1"/>
      <c r="N167" s="1"/>
    </row>
    <row r="168" spans="1:14" ht="37.5" customHeight="1">
      <c r="A168" s="73" t="s">
        <v>469</v>
      </c>
      <c r="B168" s="9"/>
      <c r="C168" s="64" t="s">
        <v>3</v>
      </c>
      <c r="D168" s="236"/>
      <c r="E168" s="153">
        <f aca="true" t="shared" si="12" ref="E168:F170">+G168+K168</f>
        <v>596.3</v>
      </c>
      <c r="F168" s="153">
        <f t="shared" si="12"/>
        <v>504.7</v>
      </c>
      <c r="G168" s="153">
        <f>212.3+490+2-48-60</f>
        <v>596.3</v>
      </c>
      <c r="H168" s="153">
        <v>504.7</v>
      </c>
      <c r="I168" s="153">
        <f>25.5+1.6</f>
        <v>27.1</v>
      </c>
      <c r="J168" s="153">
        <v>26.9</v>
      </c>
      <c r="K168" s="153"/>
      <c r="L168" s="143"/>
      <c r="M168" s="1"/>
      <c r="N168" s="1"/>
    </row>
    <row r="169" spans="1:14" ht="25.5">
      <c r="A169" s="73" t="s">
        <v>470</v>
      </c>
      <c r="B169" s="9"/>
      <c r="C169" s="39" t="s">
        <v>372</v>
      </c>
      <c r="D169" s="207" t="s">
        <v>122</v>
      </c>
      <c r="E169" s="153">
        <f t="shared" si="12"/>
        <v>40</v>
      </c>
      <c r="F169" s="153">
        <f t="shared" si="12"/>
        <v>35</v>
      </c>
      <c r="G169" s="153">
        <f>50-10</f>
        <v>40</v>
      </c>
      <c r="H169" s="153">
        <v>35</v>
      </c>
      <c r="I169" s="153"/>
      <c r="J169" s="153"/>
      <c r="K169" s="153"/>
      <c r="L169" s="143"/>
      <c r="M169" s="1"/>
      <c r="N169" s="1"/>
    </row>
    <row r="170" spans="1:14" ht="15" customHeight="1">
      <c r="A170" s="73" t="s">
        <v>471</v>
      </c>
      <c r="B170" s="9"/>
      <c r="C170" s="166" t="s">
        <v>373</v>
      </c>
      <c r="D170" s="207" t="s">
        <v>122</v>
      </c>
      <c r="E170" s="153">
        <f t="shared" si="12"/>
        <v>31.5</v>
      </c>
      <c r="F170" s="153">
        <f t="shared" si="12"/>
        <v>27</v>
      </c>
      <c r="G170" s="153">
        <v>31.5</v>
      </c>
      <c r="H170" s="153">
        <v>27</v>
      </c>
      <c r="I170" s="153"/>
      <c r="J170" s="153"/>
      <c r="K170" s="153"/>
      <c r="L170" s="143"/>
      <c r="M170" s="1"/>
      <c r="N170" s="1"/>
    </row>
    <row r="171" spans="1:14" ht="15" customHeight="1">
      <c r="A171" s="73" t="s">
        <v>472</v>
      </c>
      <c r="B171" s="9"/>
      <c r="C171" s="12" t="s">
        <v>374</v>
      </c>
      <c r="D171" s="206" t="s">
        <v>123</v>
      </c>
      <c r="E171" s="153">
        <f aca="true" t="shared" si="13" ref="E171:F198">+G171+K171</f>
        <v>45</v>
      </c>
      <c r="F171" s="153">
        <f t="shared" si="13"/>
        <v>44.6</v>
      </c>
      <c r="G171" s="153">
        <v>45</v>
      </c>
      <c r="H171" s="153">
        <v>44.6</v>
      </c>
      <c r="I171" s="153"/>
      <c r="J171" s="153"/>
      <c r="K171" s="153"/>
      <c r="L171" s="143"/>
      <c r="M171" s="1"/>
      <c r="N171" s="1"/>
    </row>
    <row r="172" spans="1:14" ht="15" customHeight="1">
      <c r="A172" s="73" t="s">
        <v>473</v>
      </c>
      <c r="B172" s="9"/>
      <c r="C172" s="12" t="s">
        <v>375</v>
      </c>
      <c r="D172" s="207" t="s">
        <v>123</v>
      </c>
      <c r="E172" s="153">
        <f t="shared" si="13"/>
        <v>80</v>
      </c>
      <c r="F172" s="153">
        <f t="shared" si="13"/>
        <v>79.7</v>
      </c>
      <c r="G172" s="153">
        <f>100-20</f>
        <v>80</v>
      </c>
      <c r="H172" s="153">
        <v>79.7</v>
      </c>
      <c r="I172" s="153"/>
      <c r="J172" s="153"/>
      <c r="K172" s="153"/>
      <c r="L172" s="143"/>
      <c r="M172" s="1"/>
      <c r="N172" s="1"/>
    </row>
    <row r="173" spans="1:14" ht="15" customHeight="1">
      <c r="A173" s="73" t="s">
        <v>474</v>
      </c>
      <c r="B173" s="9"/>
      <c r="C173" s="12" t="s">
        <v>376</v>
      </c>
      <c r="D173" s="207" t="s">
        <v>123</v>
      </c>
      <c r="E173" s="153">
        <f t="shared" si="13"/>
        <v>30</v>
      </c>
      <c r="F173" s="153">
        <f t="shared" si="13"/>
        <v>30</v>
      </c>
      <c r="G173" s="153">
        <v>30</v>
      </c>
      <c r="H173" s="153">
        <v>30</v>
      </c>
      <c r="I173" s="153"/>
      <c r="J173" s="153"/>
      <c r="K173" s="153"/>
      <c r="L173" s="143"/>
      <c r="M173" s="1"/>
      <c r="N173" s="1"/>
    </row>
    <row r="174" spans="1:14" ht="36">
      <c r="A174" s="73" t="s">
        <v>475</v>
      </c>
      <c r="B174" s="9"/>
      <c r="C174" s="12" t="s">
        <v>377</v>
      </c>
      <c r="D174" s="207" t="s">
        <v>124</v>
      </c>
      <c r="E174" s="153">
        <f t="shared" si="13"/>
        <v>620</v>
      </c>
      <c r="F174" s="153">
        <f t="shared" si="13"/>
        <v>586</v>
      </c>
      <c r="G174" s="153">
        <v>620</v>
      </c>
      <c r="H174" s="153">
        <v>586</v>
      </c>
      <c r="I174" s="153"/>
      <c r="J174" s="153"/>
      <c r="K174" s="153"/>
      <c r="L174" s="143"/>
      <c r="M174" s="1"/>
      <c r="N174" s="1"/>
    </row>
    <row r="175" spans="1:14" ht="28.5" customHeight="1">
      <c r="A175" s="73" t="s">
        <v>476</v>
      </c>
      <c r="B175" s="9"/>
      <c r="C175" s="12" t="s">
        <v>378</v>
      </c>
      <c r="D175" s="124" t="s">
        <v>125</v>
      </c>
      <c r="E175" s="153">
        <f t="shared" si="13"/>
        <v>44</v>
      </c>
      <c r="F175" s="153">
        <f t="shared" si="13"/>
        <v>44</v>
      </c>
      <c r="G175" s="153">
        <v>44</v>
      </c>
      <c r="H175" s="153">
        <v>44</v>
      </c>
      <c r="I175" s="153"/>
      <c r="J175" s="153"/>
      <c r="K175" s="153"/>
      <c r="L175" s="143"/>
      <c r="M175" s="1"/>
      <c r="N175" s="1"/>
    </row>
    <row r="176" spans="1:14" ht="28.5" customHeight="1">
      <c r="A176" s="73" t="s">
        <v>477</v>
      </c>
      <c r="B176" s="9"/>
      <c r="C176" s="12" t="s">
        <v>379</v>
      </c>
      <c r="D176" s="124" t="s">
        <v>180</v>
      </c>
      <c r="E176" s="153">
        <f t="shared" si="13"/>
        <v>13.6</v>
      </c>
      <c r="F176" s="153">
        <f t="shared" si="13"/>
        <v>13.6</v>
      </c>
      <c r="G176" s="153">
        <v>13.6</v>
      </c>
      <c r="H176" s="153">
        <v>13.6</v>
      </c>
      <c r="I176" s="153"/>
      <c r="J176" s="153"/>
      <c r="K176" s="153"/>
      <c r="L176" s="143"/>
      <c r="M176" s="1"/>
      <c r="N176" s="1"/>
    </row>
    <row r="177" spans="1:14" ht="25.5">
      <c r="A177" s="73" t="s">
        <v>478</v>
      </c>
      <c r="B177" s="9"/>
      <c r="C177" s="67" t="s">
        <v>309</v>
      </c>
      <c r="D177" s="124"/>
      <c r="E177" s="199">
        <f t="shared" si="13"/>
        <v>199.8</v>
      </c>
      <c r="F177" s="199">
        <f t="shared" si="13"/>
        <v>193.2</v>
      </c>
      <c r="G177" s="199">
        <f>SUM(G178:G185)</f>
        <v>120.5</v>
      </c>
      <c r="H177" s="199">
        <f>SUM(H178:H185)</f>
        <v>117.39999999999999</v>
      </c>
      <c r="I177" s="199">
        <f>SUM(I178:I185)</f>
        <v>0</v>
      </c>
      <c r="J177" s="199"/>
      <c r="K177" s="199">
        <f>SUM(K178:K185)</f>
        <v>79.3</v>
      </c>
      <c r="L177" s="199">
        <f>SUM(L178:L185)</f>
        <v>75.8</v>
      </c>
      <c r="M177" s="1"/>
      <c r="N177" s="1"/>
    </row>
    <row r="178" spans="1:14" ht="15" customHeight="1">
      <c r="A178" s="73" t="s">
        <v>479</v>
      </c>
      <c r="B178" s="9"/>
      <c r="C178" s="39" t="s">
        <v>306</v>
      </c>
      <c r="D178" s="124" t="s">
        <v>204</v>
      </c>
      <c r="E178" s="153">
        <f t="shared" si="13"/>
        <v>12.5</v>
      </c>
      <c r="F178" s="153">
        <f t="shared" si="13"/>
        <v>12.5</v>
      </c>
      <c r="G178" s="153">
        <v>12.5</v>
      </c>
      <c r="H178" s="153">
        <v>12.5</v>
      </c>
      <c r="I178" s="153"/>
      <c r="J178" s="153"/>
      <c r="K178" s="153"/>
      <c r="L178" s="143"/>
      <c r="M178" s="1"/>
      <c r="N178" s="1"/>
    </row>
    <row r="179" spans="1:14" ht="15" customHeight="1">
      <c r="A179" s="73" t="s">
        <v>480</v>
      </c>
      <c r="B179" s="9"/>
      <c r="C179" s="12" t="s">
        <v>307</v>
      </c>
      <c r="D179" s="124" t="s">
        <v>204</v>
      </c>
      <c r="E179" s="153">
        <f t="shared" si="13"/>
        <v>62.6</v>
      </c>
      <c r="F179" s="153">
        <f t="shared" si="13"/>
        <v>62.6</v>
      </c>
      <c r="G179" s="153">
        <f>24.6+20+18</f>
        <v>62.6</v>
      </c>
      <c r="H179" s="153">
        <v>62.6</v>
      </c>
      <c r="I179" s="153"/>
      <c r="J179" s="153"/>
      <c r="K179" s="153"/>
      <c r="L179" s="143"/>
      <c r="M179" s="1"/>
      <c r="N179" s="1"/>
    </row>
    <row r="180" spans="1:14" ht="15" customHeight="1">
      <c r="A180" s="73" t="s">
        <v>481</v>
      </c>
      <c r="B180" s="9"/>
      <c r="C180" s="12" t="s">
        <v>308</v>
      </c>
      <c r="D180" s="124" t="s">
        <v>139</v>
      </c>
      <c r="E180" s="153">
        <f t="shared" si="13"/>
        <v>8.4</v>
      </c>
      <c r="F180" s="153">
        <f t="shared" si="13"/>
        <v>6.1</v>
      </c>
      <c r="G180" s="153">
        <f>15.4-7</f>
        <v>8.4</v>
      </c>
      <c r="H180" s="153">
        <v>6.1</v>
      </c>
      <c r="I180" s="153"/>
      <c r="J180" s="153"/>
      <c r="K180" s="153"/>
      <c r="L180" s="143"/>
      <c r="M180" s="1"/>
      <c r="N180" s="1"/>
    </row>
    <row r="181" spans="1:14" ht="15" customHeight="1">
      <c r="A181" s="73" t="s">
        <v>482</v>
      </c>
      <c r="B181" s="9"/>
      <c r="C181" s="12" t="s">
        <v>235</v>
      </c>
      <c r="D181" s="124" t="s">
        <v>125</v>
      </c>
      <c r="E181" s="153">
        <f t="shared" si="13"/>
        <v>30</v>
      </c>
      <c r="F181" s="153">
        <f t="shared" si="13"/>
        <v>30</v>
      </c>
      <c r="G181" s="153">
        <v>30</v>
      </c>
      <c r="H181" s="153">
        <v>30</v>
      </c>
      <c r="I181" s="153"/>
      <c r="J181" s="153"/>
      <c r="K181" s="153"/>
      <c r="L181" s="143"/>
      <c r="M181" s="1"/>
      <c r="N181" s="1"/>
    </row>
    <row r="182" spans="1:14" ht="15" customHeight="1">
      <c r="A182" s="73" t="s">
        <v>483</v>
      </c>
      <c r="B182" s="9"/>
      <c r="C182" s="67" t="s">
        <v>251</v>
      </c>
      <c r="D182" s="124" t="s">
        <v>139</v>
      </c>
      <c r="E182" s="153">
        <f t="shared" si="13"/>
        <v>80</v>
      </c>
      <c r="F182" s="153">
        <f t="shared" si="13"/>
        <v>75.8</v>
      </c>
      <c r="G182" s="153">
        <v>0.7</v>
      </c>
      <c r="H182" s="201">
        <v>0</v>
      </c>
      <c r="I182" s="153"/>
      <c r="J182" s="153"/>
      <c r="K182" s="153">
        <f>75-0.7+5</f>
        <v>79.3</v>
      </c>
      <c r="L182" s="143">
        <v>75.8</v>
      </c>
      <c r="M182" s="1"/>
      <c r="N182" s="1"/>
    </row>
    <row r="183" spans="1:14" ht="15" customHeight="1">
      <c r="A183" s="73" t="s">
        <v>623</v>
      </c>
      <c r="B183" s="9"/>
      <c r="C183" s="67" t="s">
        <v>618</v>
      </c>
      <c r="D183" s="124" t="s">
        <v>204</v>
      </c>
      <c r="E183" s="153">
        <f t="shared" si="13"/>
        <v>3</v>
      </c>
      <c r="F183" s="153">
        <f t="shared" si="13"/>
        <v>3</v>
      </c>
      <c r="G183" s="153">
        <v>3</v>
      </c>
      <c r="H183" s="153">
        <v>3</v>
      </c>
      <c r="I183" s="153"/>
      <c r="J183" s="153"/>
      <c r="K183" s="153"/>
      <c r="L183" s="143"/>
      <c r="M183" s="1"/>
      <c r="N183" s="1"/>
    </row>
    <row r="184" spans="1:14" ht="15" customHeight="1">
      <c r="A184" s="73" t="s">
        <v>624</v>
      </c>
      <c r="B184" s="9"/>
      <c r="C184" s="67" t="s">
        <v>619</v>
      </c>
      <c r="D184" s="124" t="s">
        <v>204</v>
      </c>
      <c r="E184" s="153">
        <f t="shared" si="13"/>
        <v>3</v>
      </c>
      <c r="F184" s="153">
        <f t="shared" si="13"/>
        <v>3</v>
      </c>
      <c r="G184" s="153">
        <v>3</v>
      </c>
      <c r="H184" s="153">
        <v>3</v>
      </c>
      <c r="I184" s="153"/>
      <c r="J184" s="153"/>
      <c r="K184" s="153"/>
      <c r="L184" s="143"/>
      <c r="M184" s="1"/>
      <c r="N184" s="1"/>
    </row>
    <row r="185" spans="1:14" ht="25.5">
      <c r="A185" s="73" t="s">
        <v>645</v>
      </c>
      <c r="B185" s="9"/>
      <c r="C185" s="67" t="s">
        <v>646</v>
      </c>
      <c r="D185" s="124" t="s">
        <v>169</v>
      </c>
      <c r="E185" s="153">
        <f t="shared" si="13"/>
        <v>0.3</v>
      </c>
      <c r="F185" s="153">
        <f t="shared" si="13"/>
        <v>0.2</v>
      </c>
      <c r="G185" s="153">
        <v>0.3</v>
      </c>
      <c r="H185" s="153">
        <v>0.2</v>
      </c>
      <c r="I185" s="153"/>
      <c r="J185" s="153"/>
      <c r="K185" s="153"/>
      <c r="L185" s="143"/>
      <c r="M185" s="1"/>
      <c r="N185" s="1"/>
    </row>
    <row r="186" spans="1:14" ht="12.75">
      <c r="A186" s="232">
        <v>44</v>
      </c>
      <c r="B186" s="231"/>
      <c r="C186" s="61" t="s">
        <v>8</v>
      </c>
      <c r="D186" s="235" t="s">
        <v>197</v>
      </c>
      <c r="E186" s="153">
        <f t="shared" si="13"/>
        <v>651.6000000000001</v>
      </c>
      <c r="F186" s="153">
        <f t="shared" si="13"/>
        <v>490.2</v>
      </c>
      <c r="G186" s="153">
        <f>676.6+G187-20-10.4+0.7+4</f>
        <v>651.6000000000001</v>
      </c>
      <c r="H186" s="153">
        <v>490.2</v>
      </c>
      <c r="I186" s="153">
        <f>42.5+I187+0.5+3.1</f>
        <v>46.6</v>
      </c>
      <c r="J186" s="153">
        <v>46.6</v>
      </c>
      <c r="K186" s="153"/>
      <c r="L186" s="143"/>
      <c r="M186" s="1"/>
      <c r="N186" s="1"/>
    </row>
    <row r="187" spans="1:14" ht="24" customHeight="1">
      <c r="A187" s="232"/>
      <c r="B187" s="231"/>
      <c r="C187" s="200" t="s">
        <v>420</v>
      </c>
      <c r="D187" s="235"/>
      <c r="E187" s="153">
        <f t="shared" si="13"/>
        <v>0.7</v>
      </c>
      <c r="F187" s="153">
        <f t="shared" si="13"/>
        <v>0.7</v>
      </c>
      <c r="G187" s="153">
        <v>0.7</v>
      </c>
      <c r="H187" s="153">
        <v>0.7</v>
      </c>
      <c r="I187" s="153">
        <v>0.5</v>
      </c>
      <c r="J187" s="153">
        <v>0.5</v>
      </c>
      <c r="K187" s="153"/>
      <c r="L187" s="143"/>
      <c r="M187" s="1"/>
      <c r="N187" s="1"/>
    </row>
    <row r="188" spans="1:14" ht="41.25" customHeight="1">
      <c r="A188" s="55">
        <v>45</v>
      </c>
      <c r="B188" s="9"/>
      <c r="C188" s="61" t="s">
        <v>4</v>
      </c>
      <c r="D188" s="162" t="s">
        <v>284</v>
      </c>
      <c r="E188" s="153">
        <f t="shared" si="13"/>
        <v>204.7</v>
      </c>
      <c r="F188" s="153">
        <f t="shared" si="13"/>
        <v>180.5</v>
      </c>
      <c r="G188" s="153">
        <f>205.2-0.5</f>
        <v>204.7</v>
      </c>
      <c r="H188" s="153">
        <v>180.5</v>
      </c>
      <c r="I188" s="153">
        <f>26.1-0.4</f>
        <v>25.700000000000003</v>
      </c>
      <c r="J188" s="153">
        <v>25.7</v>
      </c>
      <c r="K188" s="153"/>
      <c r="L188" s="143"/>
      <c r="M188" s="1"/>
      <c r="N188" s="1"/>
    </row>
    <row r="189" spans="1:14" ht="42" customHeight="1">
      <c r="A189" s="55">
        <v>46</v>
      </c>
      <c r="B189" s="9"/>
      <c r="C189" s="61" t="s">
        <v>5</v>
      </c>
      <c r="D189" s="162" t="s">
        <v>197</v>
      </c>
      <c r="E189" s="153">
        <f t="shared" si="13"/>
        <v>96.89999999999999</v>
      </c>
      <c r="F189" s="153">
        <f t="shared" si="13"/>
        <v>78.6</v>
      </c>
      <c r="G189" s="153">
        <f>98.1-1.2</f>
        <v>96.89999999999999</v>
      </c>
      <c r="H189" s="153">
        <v>78.6</v>
      </c>
      <c r="I189" s="153">
        <f>14.6-1</f>
        <v>13.6</v>
      </c>
      <c r="J189" s="153">
        <v>13.6</v>
      </c>
      <c r="K189" s="153"/>
      <c r="L189" s="143"/>
      <c r="M189" s="1"/>
      <c r="N189" s="1"/>
    </row>
    <row r="190" spans="1:14" ht="42" customHeight="1">
      <c r="A190" s="55">
        <v>47</v>
      </c>
      <c r="B190" s="9"/>
      <c r="C190" s="61" t="s">
        <v>7</v>
      </c>
      <c r="D190" s="162" t="s">
        <v>197</v>
      </c>
      <c r="E190" s="153">
        <f t="shared" si="13"/>
        <v>64.2</v>
      </c>
      <c r="F190" s="153">
        <f t="shared" si="13"/>
        <v>40.2</v>
      </c>
      <c r="G190" s="153">
        <v>64.2</v>
      </c>
      <c r="H190" s="153">
        <v>40.2</v>
      </c>
      <c r="I190" s="153">
        <f>9.3-0.7</f>
        <v>8.600000000000001</v>
      </c>
      <c r="J190" s="153">
        <v>8.4</v>
      </c>
      <c r="K190" s="153"/>
      <c r="L190" s="143"/>
      <c r="M190" s="1"/>
      <c r="N190" s="1"/>
    </row>
    <row r="191" spans="1:14" ht="41.25" customHeight="1">
      <c r="A191" s="55">
        <v>48</v>
      </c>
      <c r="B191" s="9"/>
      <c r="C191" s="61" t="s">
        <v>6</v>
      </c>
      <c r="D191" s="162" t="s">
        <v>197</v>
      </c>
      <c r="E191" s="153">
        <f t="shared" si="13"/>
        <v>144.3</v>
      </c>
      <c r="F191" s="153">
        <f t="shared" si="13"/>
        <v>113</v>
      </c>
      <c r="G191" s="153">
        <f>145.8-1.5</f>
        <v>144.3</v>
      </c>
      <c r="H191" s="153">
        <v>113</v>
      </c>
      <c r="I191" s="153">
        <f>17.4-1.1</f>
        <v>16.299999999999997</v>
      </c>
      <c r="J191" s="153">
        <v>15.7</v>
      </c>
      <c r="K191" s="153"/>
      <c r="L191" s="143"/>
      <c r="M191" s="1"/>
      <c r="N191" s="1"/>
    </row>
    <row r="192" spans="1:14" ht="39.75" customHeight="1">
      <c r="A192" s="55">
        <v>49</v>
      </c>
      <c r="B192" s="9"/>
      <c r="C192" s="61" t="s">
        <v>9</v>
      </c>
      <c r="D192" s="162" t="s">
        <v>197</v>
      </c>
      <c r="E192" s="153">
        <f t="shared" si="13"/>
        <v>94.6</v>
      </c>
      <c r="F192" s="153">
        <f t="shared" si="13"/>
        <v>68.8</v>
      </c>
      <c r="G192" s="153">
        <f>93.4+1.6-0.4</f>
        <v>94.6</v>
      </c>
      <c r="H192" s="153">
        <v>68.8</v>
      </c>
      <c r="I192" s="153">
        <f>8.7+1.2-0.3</f>
        <v>9.599999999999998</v>
      </c>
      <c r="J192" s="153">
        <v>9.6</v>
      </c>
      <c r="K192" s="153"/>
      <c r="L192" s="143"/>
      <c r="M192" s="1"/>
      <c r="N192" s="1"/>
    </row>
    <row r="193" spans="1:14" ht="39.75" customHeight="1">
      <c r="A193" s="55">
        <v>50</v>
      </c>
      <c r="B193" s="9"/>
      <c r="C193" s="64" t="s">
        <v>10</v>
      </c>
      <c r="D193" s="162" t="s">
        <v>197</v>
      </c>
      <c r="E193" s="153">
        <f t="shared" si="13"/>
        <v>66.69999999999999</v>
      </c>
      <c r="F193" s="153">
        <f t="shared" si="13"/>
        <v>57.4</v>
      </c>
      <c r="G193" s="153">
        <f>66.1+0.6</f>
        <v>66.69999999999999</v>
      </c>
      <c r="H193" s="153">
        <v>57.4</v>
      </c>
      <c r="I193" s="153">
        <f>7.7+0.5</f>
        <v>8.2</v>
      </c>
      <c r="J193" s="153">
        <v>8.2</v>
      </c>
      <c r="K193" s="153"/>
      <c r="L193" s="143"/>
      <c r="M193" s="1"/>
      <c r="N193" s="1"/>
    </row>
    <row r="194" spans="1:14" ht="24" customHeight="1">
      <c r="A194" s="232">
        <v>51</v>
      </c>
      <c r="B194" s="243"/>
      <c r="C194" s="61" t="s">
        <v>12</v>
      </c>
      <c r="D194" s="235" t="s">
        <v>197</v>
      </c>
      <c r="E194" s="153">
        <f t="shared" si="13"/>
        <v>76.2</v>
      </c>
      <c r="F194" s="153">
        <f t="shared" si="13"/>
        <v>58.5</v>
      </c>
      <c r="G194" s="153">
        <f>77.7+G195+1.6-3.1</f>
        <v>76.2</v>
      </c>
      <c r="H194" s="153">
        <v>58.5</v>
      </c>
      <c r="I194" s="153">
        <f>19+1.2-2.5</f>
        <v>17.7</v>
      </c>
      <c r="J194" s="153">
        <v>17.7</v>
      </c>
      <c r="K194" s="153"/>
      <c r="L194" s="143"/>
      <c r="M194" s="1"/>
      <c r="N194" s="1"/>
    </row>
    <row r="195" spans="1:14" ht="25.5" customHeight="1">
      <c r="A195" s="232"/>
      <c r="B195" s="243"/>
      <c r="C195" s="200" t="s">
        <v>420</v>
      </c>
      <c r="D195" s="235"/>
      <c r="E195" s="153">
        <f t="shared" si="13"/>
        <v>0</v>
      </c>
      <c r="F195" s="153">
        <f t="shared" si="13"/>
        <v>0</v>
      </c>
      <c r="G195" s="153">
        <f>0.1-0.1</f>
        <v>0</v>
      </c>
      <c r="H195" s="153"/>
      <c r="I195" s="153"/>
      <c r="J195" s="153"/>
      <c r="K195" s="153"/>
      <c r="L195" s="143"/>
      <c r="M195" s="1"/>
      <c r="N195" s="1"/>
    </row>
    <row r="196" spans="1:14" ht="39.75" customHeight="1">
      <c r="A196" s="55">
        <v>52</v>
      </c>
      <c r="B196" s="9"/>
      <c r="C196" s="61" t="s">
        <v>11</v>
      </c>
      <c r="D196" s="162" t="s">
        <v>197</v>
      </c>
      <c r="E196" s="153">
        <f t="shared" si="13"/>
        <v>92.19999999999999</v>
      </c>
      <c r="F196" s="153">
        <f t="shared" si="13"/>
        <v>83.9</v>
      </c>
      <c r="G196" s="153">
        <f>92.6+0.5-0.9</f>
        <v>92.19999999999999</v>
      </c>
      <c r="H196" s="153">
        <v>83.9</v>
      </c>
      <c r="I196" s="153">
        <f>9.6+0.4-0.7</f>
        <v>9.3</v>
      </c>
      <c r="J196" s="153">
        <v>8.9</v>
      </c>
      <c r="K196" s="153"/>
      <c r="L196" s="143"/>
      <c r="M196" s="1"/>
      <c r="N196" s="1"/>
    </row>
    <row r="197" spans="1:14" ht="39.75" customHeight="1">
      <c r="A197" s="55">
        <v>53</v>
      </c>
      <c r="B197" s="9"/>
      <c r="C197" s="61" t="s">
        <v>13</v>
      </c>
      <c r="D197" s="162" t="s">
        <v>197</v>
      </c>
      <c r="E197" s="153">
        <f t="shared" si="13"/>
        <v>63.5</v>
      </c>
      <c r="F197" s="153">
        <f t="shared" si="13"/>
        <v>56.9</v>
      </c>
      <c r="G197" s="153">
        <f>61.9+0.1+1.5</f>
        <v>63.5</v>
      </c>
      <c r="H197" s="153">
        <v>56.9</v>
      </c>
      <c r="I197" s="153">
        <f>9.1+0.1+1.2</f>
        <v>10.399999999999999</v>
      </c>
      <c r="J197" s="153">
        <v>10.4</v>
      </c>
      <c r="K197" s="153"/>
      <c r="L197" s="143"/>
      <c r="M197" s="1"/>
      <c r="N197" s="1"/>
    </row>
    <row r="198" spans="1:14" ht="39.75" customHeight="1">
      <c r="A198" s="55">
        <v>54</v>
      </c>
      <c r="B198" s="9"/>
      <c r="C198" s="61" t="s">
        <v>14</v>
      </c>
      <c r="D198" s="162" t="s">
        <v>197</v>
      </c>
      <c r="E198" s="153">
        <f t="shared" si="13"/>
        <v>87.7</v>
      </c>
      <c r="F198" s="153">
        <f t="shared" si="13"/>
        <v>75</v>
      </c>
      <c r="G198" s="153">
        <f>86+1.7</f>
        <v>87.7</v>
      </c>
      <c r="H198" s="153">
        <v>75</v>
      </c>
      <c r="I198" s="153">
        <f>13.7+1.2</f>
        <v>14.899999999999999</v>
      </c>
      <c r="J198" s="153">
        <v>14.8</v>
      </c>
      <c r="K198" s="153"/>
      <c r="L198" s="143"/>
      <c r="M198" s="1"/>
      <c r="N198" s="1"/>
    </row>
    <row r="199" spans="1:14" ht="15" customHeight="1">
      <c r="A199" s="55">
        <v>55</v>
      </c>
      <c r="B199" s="7" t="s">
        <v>126</v>
      </c>
      <c r="C199" s="10" t="s">
        <v>127</v>
      </c>
      <c r="D199" s="124"/>
      <c r="E199" s="155">
        <f>+G199+K199</f>
        <v>661.5000000000002</v>
      </c>
      <c r="F199" s="155">
        <f>+H199+L199</f>
        <v>621.6999999999999</v>
      </c>
      <c r="G199" s="155">
        <f aca="true" t="shared" si="14" ref="G199:L199">+G200+G213+G214+G215+G216+G217+G218+G219+G221+G223+G225</f>
        <v>576.5000000000002</v>
      </c>
      <c r="H199" s="155">
        <f t="shared" si="14"/>
        <v>570.4</v>
      </c>
      <c r="I199" s="155">
        <f t="shared" si="14"/>
        <v>34.2</v>
      </c>
      <c r="J199" s="155">
        <f t="shared" si="14"/>
        <v>34.1</v>
      </c>
      <c r="K199" s="155">
        <f t="shared" si="14"/>
        <v>85</v>
      </c>
      <c r="L199" s="155">
        <f t="shared" si="14"/>
        <v>51.3</v>
      </c>
      <c r="M199" s="1"/>
      <c r="N199" s="1"/>
    </row>
    <row r="200" spans="1:14" ht="15" customHeight="1">
      <c r="A200" s="55">
        <v>56</v>
      </c>
      <c r="B200" s="7"/>
      <c r="C200" s="64" t="s">
        <v>108</v>
      </c>
      <c r="D200" s="124"/>
      <c r="E200" s="153">
        <f>+G200+K200</f>
        <v>645.9</v>
      </c>
      <c r="F200" s="153">
        <f>+H200+L200</f>
        <v>606.7999999999998</v>
      </c>
      <c r="G200" s="153">
        <f aca="true" t="shared" si="15" ref="G200:L200">+G202+G203+G209+G210+G211</f>
        <v>560.9</v>
      </c>
      <c r="H200" s="153">
        <f t="shared" si="15"/>
        <v>555.4999999999999</v>
      </c>
      <c r="I200" s="153">
        <f t="shared" si="15"/>
        <v>22.5</v>
      </c>
      <c r="J200" s="153">
        <f t="shared" si="15"/>
        <v>22.5</v>
      </c>
      <c r="K200" s="153">
        <f t="shared" si="15"/>
        <v>85</v>
      </c>
      <c r="L200" s="153">
        <f t="shared" si="15"/>
        <v>51.3</v>
      </c>
      <c r="M200" s="1"/>
      <c r="N200" s="1"/>
    </row>
    <row r="201" spans="1:14" ht="15" customHeight="1">
      <c r="A201" s="55"/>
      <c r="B201" s="7"/>
      <c r="C201" s="203" t="s">
        <v>121</v>
      </c>
      <c r="D201" s="205"/>
      <c r="E201" s="153"/>
      <c r="F201" s="153"/>
      <c r="G201" s="153"/>
      <c r="H201" s="153"/>
      <c r="I201" s="153"/>
      <c r="J201" s="153"/>
      <c r="K201" s="153"/>
      <c r="L201" s="143"/>
      <c r="M201" s="1"/>
      <c r="N201" s="1"/>
    </row>
    <row r="202" spans="1:14" ht="15" customHeight="1">
      <c r="A202" s="73" t="s">
        <v>484</v>
      </c>
      <c r="B202" s="9"/>
      <c r="C202" s="64" t="s">
        <v>3</v>
      </c>
      <c r="D202" s="124" t="s">
        <v>262</v>
      </c>
      <c r="E202" s="153">
        <f aca="true" t="shared" si="16" ref="E202:F242">+G202+K202</f>
        <v>80.5</v>
      </c>
      <c r="F202" s="153">
        <f t="shared" si="16"/>
        <v>80.3</v>
      </c>
      <c r="G202" s="153">
        <f>79.3+1.2</f>
        <v>80.5</v>
      </c>
      <c r="H202" s="153">
        <v>80.3</v>
      </c>
      <c r="I202" s="153">
        <f>21.7+0.8</f>
        <v>22.5</v>
      </c>
      <c r="J202" s="153">
        <v>22.5</v>
      </c>
      <c r="K202" s="153"/>
      <c r="L202" s="143"/>
      <c r="M202" s="1"/>
      <c r="N202" s="1"/>
    </row>
    <row r="203" spans="1:14" ht="15" customHeight="1">
      <c r="A203" s="240" t="s">
        <v>485</v>
      </c>
      <c r="B203" s="231"/>
      <c r="C203" s="166" t="s">
        <v>380</v>
      </c>
      <c r="D203" s="233" t="s">
        <v>128</v>
      </c>
      <c r="E203" s="153">
        <f t="shared" si="16"/>
        <v>455</v>
      </c>
      <c r="F203" s="153">
        <f t="shared" si="16"/>
        <v>454.9</v>
      </c>
      <c r="G203" s="153">
        <f>SUM(G205:G208)</f>
        <v>455</v>
      </c>
      <c r="H203" s="153">
        <f>SUM(H205:H208)</f>
        <v>454.9</v>
      </c>
      <c r="I203" s="153">
        <f>SUM(I205:I208)</f>
        <v>0</v>
      </c>
      <c r="J203" s="153"/>
      <c r="K203" s="153">
        <f>SUM(K205:K208)</f>
        <v>0</v>
      </c>
      <c r="L203" s="143"/>
      <c r="M203" s="1"/>
      <c r="N203" s="1"/>
    </row>
    <row r="204" spans="1:14" ht="15" customHeight="1">
      <c r="A204" s="240"/>
      <c r="B204" s="231"/>
      <c r="C204" s="166" t="s">
        <v>121</v>
      </c>
      <c r="D204" s="233"/>
      <c r="E204" s="153"/>
      <c r="F204" s="153"/>
      <c r="G204" s="153"/>
      <c r="H204" s="153"/>
      <c r="I204" s="153"/>
      <c r="J204" s="153"/>
      <c r="K204" s="153"/>
      <c r="L204" s="143"/>
      <c r="M204" s="1"/>
      <c r="N204" s="1"/>
    </row>
    <row r="205" spans="1:14" ht="15" customHeight="1">
      <c r="A205" s="240"/>
      <c r="B205" s="231"/>
      <c r="C205" s="208" t="s">
        <v>381</v>
      </c>
      <c r="D205" s="233"/>
      <c r="E205" s="153">
        <f aca="true" t="shared" si="17" ref="E205:F208">+G205</f>
        <v>253</v>
      </c>
      <c r="F205" s="153">
        <f t="shared" si="17"/>
        <v>253</v>
      </c>
      <c r="G205" s="153">
        <f>183+70</f>
        <v>253</v>
      </c>
      <c r="H205" s="153">
        <v>253</v>
      </c>
      <c r="I205" s="153"/>
      <c r="J205" s="153"/>
      <c r="K205" s="153"/>
      <c r="L205" s="143"/>
      <c r="M205" s="1"/>
      <c r="N205" s="1"/>
    </row>
    <row r="206" spans="1:14" ht="15" customHeight="1">
      <c r="A206" s="240"/>
      <c r="B206" s="231"/>
      <c r="C206" s="208" t="s">
        <v>382</v>
      </c>
      <c r="D206" s="233"/>
      <c r="E206" s="153">
        <f t="shared" si="17"/>
        <v>100</v>
      </c>
      <c r="F206" s="153">
        <f t="shared" si="17"/>
        <v>100</v>
      </c>
      <c r="G206" s="153">
        <v>100</v>
      </c>
      <c r="H206" s="153">
        <v>100</v>
      </c>
      <c r="I206" s="153"/>
      <c r="J206" s="153"/>
      <c r="K206" s="153"/>
      <c r="L206" s="143"/>
      <c r="M206" s="1"/>
      <c r="N206" s="1"/>
    </row>
    <row r="207" spans="1:14" ht="15" customHeight="1">
      <c r="A207" s="240"/>
      <c r="B207" s="231"/>
      <c r="C207" s="208" t="s">
        <v>383</v>
      </c>
      <c r="D207" s="233"/>
      <c r="E207" s="153">
        <f t="shared" si="17"/>
        <v>12</v>
      </c>
      <c r="F207" s="153">
        <f t="shared" si="17"/>
        <v>12</v>
      </c>
      <c r="G207" s="153">
        <v>12</v>
      </c>
      <c r="H207" s="153">
        <v>12</v>
      </c>
      <c r="I207" s="153"/>
      <c r="J207" s="153"/>
      <c r="K207" s="153"/>
      <c r="L207" s="143"/>
      <c r="M207" s="1"/>
      <c r="N207" s="1"/>
    </row>
    <row r="208" spans="1:14" ht="15" customHeight="1">
      <c r="A208" s="240"/>
      <c r="B208" s="231"/>
      <c r="C208" s="208" t="s">
        <v>384</v>
      </c>
      <c r="D208" s="233"/>
      <c r="E208" s="153">
        <f t="shared" si="17"/>
        <v>90</v>
      </c>
      <c r="F208" s="153">
        <f t="shared" si="17"/>
        <v>89.9</v>
      </c>
      <c r="G208" s="153">
        <v>90</v>
      </c>
      <c r="H208" s="153">
        <v>89.9</v>
      </c>
      <c r="I208" s="153"/>
      <c r="J208" s="153"/>
      <c r="K208" s="153"/>
      <c r="L208" s="143"/>
      <c r="M208" s="1"/>
      <c r="N208" s="1"/>
    </row>
    <row r="209" spans="1:14" ht="15" customHeight="1">
      <c r="A209" s="73" t="s">
        <v>486</v>
      </c>
      <c r="B209" s="9"/>
      <c r="C209" s="166" t="s">
        <v>385</v>
      </c>
      <c r="D209" s="124" t="s">
        <v>128</v>
      </c>
      <c r="E209" s="153">
        <f t="shared" si="16"/>
        <v>19</v>
      </c>
      <c r="F209" s="153">
        <f t="shared" si="16"/>
        <v>19</v>
      </c>
      <c r="G209" s="153">
        <v>19</v>
      </c>
      <c r="H209" s="153">
        <v>19</v>
      </c>
      <c r="I209" s="153"/>
      <c r="J209" s="153"/>
      <c r="K209" s="153"/>
      <c r="L209" s="143"/>
      <c r="M209" s="1"/>
      <c r="N209" s="1"/>
    </row>
    <row r="210" spans="1:14" ht="15" customHeight="1">
      <c r="A210" s="73" t="s">
        <v>487</v>
      </c>
      <c r="B210" s="9"/>
      <c r="C210" s="166" t="s">
        <v>592</v>
      </c>
      <c r="D210" s="124" t="s">
        <v>128</v>
      </c>
      <c r="E210" s="153">
        <f t="shared" si="16"/>
        <v>1.4</v>
      </c>
      <c r="F210" s="153">
        <f t="shared" si="16"/>
        <v>1.3</v>
      </c>
      <c r="G210" s="153">
        <v>1.4</v>
      </c>
      <c r="H210" s="153">
        <v>1.3</v>
      </c>
      <c r="I210" s="153"/>
      <c r="J210" s="153"/>
      <c r="K210" s="153"/>
      <c r="L210" s="143"/>
      <c r="M210" s="1"/>
      <c r="N210" s="1"/>
    </row>
    <row r="211" spans="1:14" ht="27.75" customHeight="1">
      <c r="A211" s="55" t="s">
        <v>613</v>
      </c>
      <c r="B211" s="9"/>
      <c r="C211" s="67" t="s">
        <v>309</v>
      </c>
      <c r="D211" s="124"/>
      <c r="E211" s="153">
        <f t="shared" si="16"/>
        <v>90</v>
      </c>
      <c r="F211" s="153">
        <f t="shared" si="16"/>
        <v>51.3</v>
      </c>
      <c r="G211" s="153">
        <f>+G212</f>
        <v>5</v>
      </c>
      <c r="H211" s="201">
        <f>+H212</f>
        <v>0</v>
      </c>
      <c r="I211" s="153">
        <f>+I212</f>
        <v>0</v>
      </c>
      <c r="J211" s="153"/>
      <c r="K211" s="153">
        <f>+K212</f>
        <v>85</v>
      </c>
      <c r="L211" s="153">
        <f>+L212</f>
        <v>51.3</v>
      </c>
      <c r="M211" s="1"/>
      <c r="N211" s="1"/>
    </row>
    <row r="212" spans="1:14" ht="27.75" customHeight="1">
      <c r="A212" s="55" t="s">
        <v>614</v>
      </c>
      <c r="B212" s="9"/>
      <c r="C212" s="61" t="s">
        <v>590</v>
      </c>
      <c r="D212" s="124" t="s">
        <v>591</v>
      </c>
      <c r="E212" s="153">
        <f t="shared" si="16"/>
        <v>90</v>
      </c>
      <c r="F212" s="153">
        <f t="shared" si="16"/>
        <v>51.3</v>
      </c>
      <c r="G212" s="153">
        <f>40-35</f>
        <v>5</v>
      </c>
      <c r="H212" s="201">
        <v>0</v>
      </c>
      <c r="I212" s="153"/>
      <c r="J212" s="153"/>
      <c r="K212" s="153">
        <f>50+35</f>
        <v>85</v>
      </c>
      <c r="L212" s="143">
        <v>51.3</v>
      </c>
      <c r="M212" s="1"/>
      <c r="N212" s="1"/>
    </row>
    <row r="213" spans="1:14" ht="15" customHeight="1">
      <c r="A213" s="55">
        <v>57</v>
      </c>
      <c r="B213" s="9"/>
      <c r="C213" s="61" t="s">
        <v>4</v>
      </c>
      <c r="D213" s="124" t="s">
        <v>128</v>
      </c>
      <c r="E213" s="153">
        <f t="shared" si="16"/>
        <v>1.6</v>
      </c>
      <c r="F213" s="153">
        <f t="shared" si="16"/>
        <v>1.5</v>
      </c>
      <c r="G213" s="153">
        <f>1.3+0.3</f>
        <v>1.6</v>
      </c>
      <c r="H213" s="153">
        <v>1.5</v>
      </c>
      <c r="I213" s="153">
        <f>1+0.2</f>
        <v>1.2</v>
      </c>
      <c r="J213" s="153">
        <v>1.2</v>
      </c>
      <c r="K213" s="153"/>
      <c r="L213" s="143"/>
      <c r="M213" s="1"/>
      <c r="N213" s="1"/>
    </row>
    <row r="214" spans="1:14" ht="15" customHeight="1">
      <c r="A214" s="55">
        <v>58</v>
      </c>
      <c r="B214" s="9"/>
      <c r="C214" s="61" t="s">
        <v>5</v>
      </c>
      <c r="D214" s="124" t="s">
        <v>128</v>
      </c>
      <c r="E214" s="153">
        <f t="shared" si="16"/>
        <v>1.5999999999999999</v>
      </c>
      <c r="F214" s="153">
        <f t="shared" si="16"/>
        <v>1.5</v>
      </c>
      <c r="G214" s="153">
        <f>1.4+0.2</f>
        <v>1.5999999999999999</v>
      </c>
      <c r="H214" s="153">
        <v>1.5</v>
      </c>
      <c r="I214" s="153">
        <f>1.1+0.1</f>
        <v>1.2000000000000002</v>
      </c>
      <c r="J214" s="153">
        <v>1.2</v>
      </c>
      <c r="K214" s="153"/>
      <c r="L214" s="143"/>
      <c r="M214" s="1"/>
      <c r="N214" s="1"/>
    </row>
    <row r="215" spans="1:14" ht="15" customHeight="1">
      <c r="A215" s="55">
        <v>59</v>
      </c>
      <c r="B215" s="9"/>
      <c r="C215" s="64" t="s">
        <v>7</v>
      </c>
      <c r="D215" s="124" t="s">
        <v>128</v>
      </c>
      <c r="E215" s="153">
        <f t="shared" si="16"/>
        <v>1.6</v>
      </c>
      <c r="F215" s="153">
        <f t="shared" si="16"/>
        <v>1.6</v>
      </c>
      <c r="G215" s="153">
        <v>1.6</v>
      </c>
      <c r="H215" s="153">
        <v>1.6</v>
      </c>
      <c r="I215" s="153">
        <v>1.2</v>
      </c>
      <c r="J215" s="153">
        <v>1.2</v>
      </c>
      <c r="K215" s="153"/>
      <c r="L215" s="143"/>
      <c r="M215" s="1"/>
      <c r="N215" s="1"/>
    </row>
    <row r="216" spans="1:14" ht="15" customHeight="1">
      <c r="A216" s="55">
        <v>60</v>
      </c>
      <c r="B216" s="9"/>
      <c r="C216" s="61" t="s">
        <v>6</v>
      </c>
      <c r="D216" s="124" t="s">
        <v>128</v>
      </c>
      <c r="E216" s="153">
        <f t="shared" si="16"/>
        <v>1.7000000000000002</v>
      </c>
      <c r="F216" s="153">
        <f t="shared" si="16"/>
        <v>1.6</v>
      </c>
      <c r="G216" s="153">
        <f>1.6+0.1</f>
        <v>1.7000000000000002</v>
      </c>
      <c r="H216" s="153">
        <v>1.6</v>
      </c>
      <c r="I216" s="153">
        <f>1.2+0.1</f>
        <v>1.3</v>
      </c>
      <c r="J216" s="153">
        <v>1.3</v>
      </c>
      <c r="K216" s="153"/>
      <c r="L216" s="143"/>
      <c r="M216" s="1"/>
      <c r="N216" s="1"/>
    </row>
    <row r="217" spans="1:14" ht="15" customHeight="1">
      <c r="A217" s="55">
        <v>61</v>
      </c>
      <c r="B217" s="9"/>
      <c r="C217" s="61" t="s">
        <v>9</v>
      </c>
      <c r="D217" s="124" t="s">
        <v>128</v>
      </c>
      <c r="E217" s="153">
        <f t="shared" si="16"/>
        <v>1.6</v>
      </c>
      <c r="F217" s="153">
        <f t="shared" si="16"/>
        <v>1.5</v>
      </c>
      <c r="G217" s="153">
        <f>1.3+0.3</f>
        <v>1.6</v>
      </c>
      <c r="H217" s="153">
        <v>1.5</v>
      </c>
      <c r="I217" s="153">
        <f>1+0.2</f>
        <v>1.2</v>
      </c>
      <c r="J217" s="153">
        <v>1.2</v>
      </c>
      <c r="K217" s="153"/>
      <c r="L217" s="143"/>
      <c r="M217" s="1"/>
      <c r="N217" s="1"/>
    </row>
    <row r="218" spans="1:14" ht="15" customHeight="1">
      <c r="A218" s="55">
        <v>62</v>
      </c>
      <c r="B218" s="9"/>
      <c r="C218" s="64" t="s">
        <v>10</v>
      </c>
      <c r="D218" s="124" t="s">
        <v>128</v>
      </c>
      <c r="E218" s="153">
        <f t="shared" si="16"/>
        <v>1.5999999999999999</v>
      </c>
      <c r="F218" s="153">
        <f t="shared" si="16"/>
        <v>1.6</v>
      </c>
      <c r="G218" s="153">
        <f>1.4+0.2</f>
        <v>1.5999999999999999</v>
      </c>
      <c r="H218" s="153">
        <v>1.6</v>
      </c>
      <c r="I218" s="153">
        <f>1.1+0.1</f>
        <v>1.2000000000000002</v>
      </c>
      <c r="J218" s="153">
        <v>1.2</v>
      </c>
      <c r="K218" s="153"/>
      <c r="L218" s="143"/>
      <c r="M218" s="1"/>
      <c r="N218" s="1"/>
    </row>
    <row r="219" spans="1:14" ht="15" customHeight="1">
      <c r="A219" s="232">
        <v>63</v>
      </c>
      <c r="B219" s="231"/>
      <c r="C219" s="61" t="s">
        <v>12</v>
      </c>
      <c r="D219" s="233" t="s">
        <v>128</v>
      </c>
      <c r="E219" s="153">
        <f t="shared" si="16"/>
        <v>1.7</v>
      </c>
      <c r="F219" s="153">
        <f t="shared" si="16"/>
        <v>1.7</v>
      </c>
      <c r="G219" s="153">
        <f>1.7+G220</f>
        <v>1.7</v>
      </c>
      <c r="H219" s="153">
        <v>1.7</v>
      </c>
      <c r="I219" s="153">
        <f>1.3+I220</f>
        <v>1.3</v>
      </c>
      <c r="J219" s="153">
        <v>1.3</v>
      </c>
      <c r="K219" s="153"/>
      <c r="L219" s="143"/>
      <c r="M219" s="1"/>
      <c r="N219" s="1"/>
    </row>
    <row r="220" spans="1:14" ht="15" customHeight="1">
      <c r="A220" s="232"/>
      <c r="B220" s="231"/>
      <c r="C220" s="200" t="s">
        <v>420</v>
      </c>
      <c r="D220" s="233"/>
      <c r="E220" s="153">
        <f t="shared" si="16"/>
        <v>0</v>
      </c>
      <c r="F220" s="153">
        <f t="shared" si="16"/>
        <v>0</v>
      </c>
      <c r="G220" s="153">
        <f>0.1-0.1</f>
        <v>0</v>
      </c>
      <c r="H220" s="153"/>
      <c r="I220" s="153">
        <f>0.1-0.1</f>
        <v>0</v>
      </c>
      <c r="J220" s="153"/>
      <c r="K220" s="153"/>
      <c r="L220" s="143"/>
      <c r="M220" s="1"/>
      <c r="N220" s="1"/>
    </row>
    <row r="221" spans="1:14" ht="15" customHeight="1">
      <c r="A221" s="232">
        <v>64</v>
      </c>
      <c r="B221" s="231"/>
      <c r="C221" s="61" t="s">
        <v>208</v>
      </c>
      <c r="D221" s="233" t="s">
        <v>128</v>
      </c>
      <c r="E221" s="153">
        <f t="shared" si="16"/>
        <v>1.1</v>
      </c>
      <c r="F221" s="153">
        <f t="shared" si="16"/>
        <v>0.9</v>
      </c>
      <c r="G221" s="153">
        <f>1.5+G222-0.6</f>
        <v>1.1</v>
      </c>
      <c r="H221" s="153">
        <v>0.9</v>
      </c>
      <c r="I221" s="153">
        <f>1.1+I222-0.4</f>
        <v>0.8000000000000002</v>
      </c>
      <c r="J221" s="153">
        <v>0.7</v>
      </c>
      <c r="K221" s="153"/>
      <c r="L221" s="143"/>
      <c r="M221" s="1"/>
      <c r="N221" s="1"/>
    </row>
    <row r="222" spans="1:14" ht="15" customHeight="1">
      <c r="A222" s="232"/>
      <c r="B222" s="231"/>
      <c r="C222" s="200" t="s">
        <v>420</v>
      </c>
      <c r="D222" s="233"/>
      <c r="E222" s="153">
        <f t="shared" si="16"/>
        <v>0.2</v>
      </c>
      <c r="F222" s="153">
        <f t="shared" si="16"/>
        <v>0.1</v>
      </c>
      <c r="G222" s="153">
        <v>0.2</v>
      </c>
      <c r="H222" s="153">
        <v>0.1</v>
      </c>
      <c r="I222" s="153">
        <v>0.1</v>
      </c>
      <c r="J222" s="153">
        <v>0.1</v>
      </c>
      <c r="K222" s="153"/>
      <c r="L222" s="143"/>
      <c r="M222" s="1"/>
      <c r="N222" s="1"/>
    </row>
    <row r="223" spans="1:14" ht="15" customHeight="1">
      <c r="A223" s="232">
        <v>65</v>
      </c>
      <c r="B223" s="231"/>
      <c r="C223" s="61" t="s">
        <v>13</v>
      </c>
      <c r="D223" s="233" t="s">
        <v>128</v>
      </c>
      <c r="E223" s="153">
        <f t="shared" si="16"/>
        <v>1.5999999999999999</v>
      </c>
      <c r="F223" s="153">
        <f t="shared" si="16"/>
        <v>1.6</v>
      </c>
      <c r="G223" s="153">
        <f>1.4+G224</f>
        <v>1.5999999999999999</v>
      </c>
      <c r="H223" s="153">
        <v>1.6</v>
      </c>
      <c r="I223" s="153">
        <f>1.1+I224</f>
        <v>1.2000000000000002</v>
      </c>
      <c r="J223" s="153">
        <v>1.2</v>
      </c>
      <c r="K223" s="153"/>
      <c r="L223" s="143"/>
      <c r="M223" s="1"/>
      <c r="N223" s="1"/>
    </row>
    <row r="224" spans="1:14" ht="15" customHeight="1">
      <c r="A224" s="232"/>
      <c r="B224" s="231"/>
      <c r="C224" s="200" t="s">
        <v>420</v>
      </c>
      <c r="D224" s="233"/>
      <c r="E224" s="153">
        <f t="shared" si="16"/>
        <v>0.2</v>
      </c>
      <c r="F224" s="153">
        <f t="shared" si="16"/>
        <v>0.2</v>
      </c>
      <c r="G224" s="153">
        <v>0.2</v>
      </c>
      <c r="H224" s="153">
        <v>0.2</v>
      </c>
      <c r="I224" s="153">
        <v>0.1</v>
      </c>
      <c r="J224" s="153">
        <v>0.1</v>
      </c>
      <c r="K224" s="153"/>
      <c r="L224" s="143"/>
      <c r="M224" s="1"/>
      <c r="N224" s="1"/>
    </row>
    <row r="225" spans="1:14" ht="15" customHeight="1">
      <c r="A225" s="55">
        <v>66</v>
      </c>
      <c r="B225" s="9"/>
      <c r="C225" s="61" t="s">
        <v>14</v>
      </c>
      <c r="D225" s="124" t="s">
        <v>128</v>
      </c>
      <c r="E225" s="153">
        <f t="shared" si="16"/>
        <v>1.5</v>
      </c>
      <c r="F225" s="153">
        <f t="shared" si="16"/>
        <v>1.4</v>
      </c>
      <c r="G225" s="153">
        <f>1.3+0.2</f>
        <v>1.5</v>
      </c>
      <c r="H225" s="153">
        <v>1.4</v>
      </c>
      <c r="I225" s="153">
        <f>1+0.1</f>
        <v>1.1</v>
      </c>
      <c r="J225" s="153">
        <v>1.1</v>
      </c>
      <c r="K225" s="153"/>
      <c r="L225" s="143"/>
      <c r="M225" s="1"/>
      <c r="N225" s="1"/>
    </row>
    <row r="226" spans="1:14" ht="15" customHeight="1">
      <c r="A226" s="55">
        <v>67</v>
      </c>
      <c r="B226" s="7" t="s">
        <v>129</v>
      </c>
      <c r="C226" s="10" t="s">
        <v>130</v>
      </c>
      <c r="D226" s="205"/>
      <c r="E226" s="79">
        <f t="shared" si="16"/>
        <v>2495.5</v>
      </c>
      <c r="F226" s="79">
        <f t="shared" si="16"/>
        <v>2468.5</v>
      </c>
      <c r="G226" s="79">
        <f aca="true" t="shared" si="18" ref="G226:L226">+G227+G229+G231+G233+G235+G237+G239+G241+G243+G254</f>
        <v>2226.4</v>
      </c>
      <c r="H226" s="79">
        <f t="shared" si="18"/>
        <v>2208.4</v>
      </c>
      <c r="I226" s="79">
        <f t="shared" si="18"/>
        <v>1246.1999999999998</v>
      </c>
      <c r="J226" s="79">
        <f t="shared" si="18"/>
        <v>1246.1999999999998</v>
      </c>
      <c r="K226" s="79">
        <f t="shared" si="18"/>
        <v>269.1</v>
      </c>
      <c r="L226" s="79">
        <f t="shared" si="18"/>
        <v>260.1</v>
      </c>
      <c r="M226" s="1"/>
      <c r="N226" s="1"/>
    </row>
    <row r="227" spans="1:14" ht="15" customHeight="1">
      <c r="A227" s="232">
        <v>68</v>
      </c>
      <c r="B227" s="231"/>
      <c r="C227" s="66" t="s">
        <v>82</v>
      </c>
      <c r="D227" s="233" t="s">
        <v>131</v>
      </c>
      <c r="E227" s="153">
        <f t="shared" si="16"/>
        <v>493.8</v>
      </c>
      <c r="F227" s="153">
        <f t="shared" si="16"/>
        <v>493.8</v>
      </c>
      <c r="G227" s="153">
        <f>463.5+G228+2.4+2.3+23.5</f>
        <v>493.8</v>
      </c>
      <c r="H227" s="153">
        <v>493.8</v>
      </c>
      <c r="I227" s="153">
        <f>280.8+I228+23.5</f>
        <v>305.90000000000003</v>
      </c>
      <c r="J227" s="153">
        <v>305.9</v>
      </c>
      <c r="K227" s="153"/>
      <c r="L227" s="143"/>
      <c r="M227" s="1"/>
      <c r="N227" s="1"/>
    </row>
    <row r="228" spans="1:14" ht="15" customHeight="1">
      <c r="A228" s="232"/>
      <c r="B228" s="231"/>
      <c r="C228" s="200" t="s">
        <v>420</v>
      </c>
      <c r="D228" s="233"/>
      <c r="E228" s="153">
        <f t="shared" si="16"/>
        <v>2.1</v>
      </c>
      <c r="F228" s="153">
        <f t="shared" si="16"/>
        <v>2.1</v>
      </c>
      <c r="G228" s="153">
        <v>2.1</v>
      </c>
      <c r="H228" s="153">
        <v>2.1</v>
      </c>
      <c r="I228" s="153">
        <v>1.6</v>
      </c>
      <c r="J228" s="153">
        <v>1.6</v>
      </c>
      <c r="K228" s="153"/>
      <c r="L228" s="143"/>
      <c r="M228" s="1"/>
      <c r="N228" s="1"/>
    </row>
    <row r="229" spans="1:14" ht="15" customHeight="1">
      <c r="A229" s="232">
        <v>69</v>
      </c>
      <c r="B229" s="231"/>
      <c r="C229" s="33" t="s">
        <v>89</v>
      </c>
      <c r="D229" s="233" t="s">
        <v>131</v>
      </c>
      <c r="E229" s="153">
        <f t="shared" si="16"/>
        <v>150.8</v>
      </c>
      <c r="F229" s="153">
        <f t="shared" si="16"/>
        <v>150.6</v>
      </c>
      <c r="G229" s="153">
        <f>135.1+G230+3.9+1.6+1+7.9</f>
        <v>150.8</v>
      </c>
      <c r="H229" s="153">
        <v>150.6</v>
      </c>
      <c r="I229" s="153">
        <f>89.2+I230+4.5</f>
        <v>94.7</v>
      </c>
      <c r="J229" s="153">
        <v>94.7</v>
      </c>
      <c r="K229" s="153"/>
      <c r="L229" s="143"/>
      <c r="M229" s="1"/>
      <c r="N229" s="1"/>
    </row>
    <row r="230" spans="1:14" ht="15" customHeight="1">
      <c r="A230" s="232"/>
      <c r="B230" s="231"/>
      <c r="C230" s="200" t="s">
        <v>420</v>
      </c>
      <c r="D230" s="233"/>
      <c r="E230" s="153">
        <f t="shared" si="16"/>
        <v>1.3</v>
      </c>
      <c r="F230" s="153">
        <f t="shared" si="16"/>
        <v>1.3</v>
      </c>
      <c r="G230" s="153">
        <v>1.3</v>
      </c>
      <c r="H230" s="153">
        <v>1.3</v>
      </c>
      <c r="I230" s="153">
        <v>1</v>
      </c>
      <c r="J230" s="153">
        <v>1</v>
      </c>
      <c r="K230" s="153"/>
      <c r="L230" s="143"/>
      <c r="M230" s="1"/>
      <c r="N230" s="1"/>
    </row>
    <row r="231" spans="1:14" ht="15" customHeight="1">
      <c r="A231" s="232">
        <v>70</v>
      </c>
      <c r="B231" s="231"/>
      <c r="C231" s="33" t="s">
        <v>90</v>
      </c>
      <c r="D231" s="233" t="s">
        <v>131</v>
      </c>
      <c r="E231" s="153">
        <f t="shared" si="16"/>
        <v>106.60000000000001</v>
      </c>
      <c r="F231" s="153">
        <f t="shared" si="16"/>
        <v>106.6</v>
      </c>
      <c r="G231" s="153">
        <f>96.2+G232+1.4+2.1+6</f>
        <v>106.60000000000001</v>
      </c>
      <c r="H231" s="153">
        <v>106.6</v>
      </c>
      <c r="I231" s="153">
        <f>58+I232+1.1+4.2</f>
        <v>64</v>
      </c>
      <c r="J231" s="153">
        <v>64</v>
      </c>
      <c r="K231" s="153"/>
      <c r="L231" s="143"/>
      <c r="M231" s="1"/>
      <c r="N231" s="1"/>
    </row>
    <row r="232" spans="1:14" ht="15" customHeight="1">
      <c r="A232" s="232"/>
      <c r="B232" s="231"/>
      <c r="C232" s="200" t="s">
        <v>420</v>
      </c>
      <c r="D232" s="233"/>
      <c r="E232" s="153">
        <f t="shared" si="16"/>
        <v>0.9</v>
      </c>
      <c r="F232" s="153">
        <f t="shared" si="16"/>
        <v>0.9</v>
      </c>
      <c r="G232" s="153">
        <v>0.9</v>
      </c>
      <c r="H232" s="153">
        <v>0.9</v>
      </c>
      <c r="I232" s="153">
        <v>0.7</v>
      </c>
      <c r="J232" s="153">
        <v>0.7</v>
      </c>
      <c r="K232" s="153"/>
      <c r="L232" s="143"/>
      <c r="M232" s="1"/>
      <c r="N232" s="1"/>
    </row>
    <row r="233" spans="1:14" ht="15" customHeight="1">
      <c r="A233" s="232">
        <v>71</v>
      </c>
      <c r="B233" s="231"/>
      <c r="C233" s="33" t="s">
        <v>83</v>
      </c>
      <c r="D233" s="233" t="s">
        <v>131</v>
      </c>
      <c r="E233" s="153">
        <f t="shared" si="16"/>
        <v>95.9</v>
      </c>
      <c r="F233" s="153">
        <f t="shared" si="16"/>
        <v>95.89999999999999</v>
      </c>
      <c r="G233" s="153">
        <f>86.7+G234+3.2+0.9+2.7</f>
        <v>94.80000000000001</v>
      </c>
      <c r="H233" s="153">
        <v>94.8</v>
      </c>
      <c r="I233" s="153">
        <f>58.6+I234</f>
        <v>59.6</v>
      </c>
      <c r="J233" s="153">
        <v>59.6</v>
      </c>
      <c r="K233" s="153">
        <v>1.1</v>
      </c>
      <c r="L233" s="143">
        <v>1.1</v>
      </c>
      <c r="M233" s="1"/>
      <c r="N233" s="1"/>
    </row>
    <row r="234" spans="1:14" ht="15" customHeight="1">
      <c r="A234" s="232"/>
      <c r="B234" s="231"/>
      <c r="C234" s="200" t="s">
        <v>420</v>
      </c>
      <c r="D234" s="233"/>
      <c r="E234" s="153">
        <f t="shared" si="16"/>
        <v>1.3</v>
      </c>
      <c r="F234" s="153">
        <f t="shared" si="16"/>
        <v>1.3</v>
      </c>
      <c r="G234" s="153">
        <v>1.3</v>
      </c>
      <c r="H234" s="153">
        <v>1.3</v>
      </c>
      <c r="I234" s="153">
        <v>1</v>
      </c>
      <c r="J234" s="153">
        <v>1</v>
      </c>
      <c r="K234" s="153"/>
      <c r="L234" s="143"/>
      <c r="M234" s="1"/>
      <c r="N234" s="1"/>
    </row>
    <row r="235" spans="1:14" ht="15" customHeight="1">
      <c r="A235" s="232">
        <v>72</v>
      </c>
      <c r="B235" s="231"/>
      <c r="C235" s="33" t="s">
        <v>91</v>
      </c>
      <c r="D235" s="233" t="s">
        <v>131</v>
      </c>
      <c r="E235" s="153">
        <f t="shared" si="16"/>
        <v>63.199999999999996</v>
      </c>
      <c r="F235" s="153">
        <f t="shared" si="16"/>
        <v>63.2</v>
      </c>
      <c r="G235" s="153">
        <f>59.1+G236+0.9-0.7+2.3</f>
        <v>62.49999999999999</v>
      </c>
      <c r="H235" s="153">
        <v>62.5</v>
      </c>
      <c r="I235" s="153">
        <f>42.1+I236-1.7</f>
        <v>41.1</v>
      </c>
      <c r="J235" s="153">
        <v>41.1</v>
      </c>
      <c r="K235" s="153">
        <v>0.7</v>
      </c>
      <c r="L235" s="143">
        <v>0.7</v>
      </c>
      <c r="M235" s="1"/>
      <c r="N235" s="1"/>
    </row>
    <row r="236" spans="1:14" ht="15" customHeight="1">
      <c r="A236" s="232"/>
      <c r="B236" s="231"/>
      <c r="C236" s="200" t="s">
        <v>420</v>
      </c>
      <c r="D236" s="233"/>
      <c r="E236" s="153">
        <f t="shared" si="16"/>
        <v>0.9</v>
      </c>
      <c r="F236" s="153">
        <f t="shared" si="16"/>
        <v>0.9</v>
      </c>
      <c r="G236" s="153">
        <v>0.9</v>
      </c>
      <c r="H236" s="153">
        <v>0.9</v>
      </c>
      <c r="I236" s="153">
        <v>0.7</v>
      </c>
      <c r="J236" s="153">
        <v>0.7</v>
      </c>
      <c r="K236" s="153"/>
      <c r="L236" s="143"/>
      <c r="M236" s="1"/>
      <c r="N236" s="1"/>
    </row>
    <row r="237" spans="1:14" ht="15" customHeight="1">
      <c r="A237" s="232">
        <v>73</v>
      </c>
      <c r="B237" s="231"/>
      <c r="C237" s="33" t="s">
        <v>92</v>
      </c>
      <c r="D237" s="233" t="s">
        <v>131</v>
      </c>
      <c r="E237" s="153">
        <f t="shared" si="16"/>
        <v>57.9</v>
      </c>
      <c r="F237" s="153">
        <f t="shared" si="16"/>
        <v>57.8</v>
      </c>
      <c r="G237" s="153">
        <f>54.5+G238+0.4+2.3</f>
        <v>57.9</v>
      </c>
      <c r="H237" s="153">
        <v>57.8</v>
      </c>
      <c r="I237" s="153">
        <f>37.9+I238+1.6</f>
        <v>40</v>
      </c>
      <c r="J237" s="153">
        <v>40</v>
      </c>
      <c r="K237" s="153"/>
      <c r="L237" s="143"/>
      <c r="M237" s="1"/>
      <c r="N237" s="1"/>
    </row>
    <row r="238" spans="1:14" ht="15" customHeight="1">
      <c r="A238" s="232"/>
      <c r="B238" s="231"/>
      <c r="C238" s="200" t="s">
        <v>420</v>
      </c>
      <c r="D238" s="233"/>
      <c r="E238" s="153">
        <f t="shared" si="16"/>
        <v>0.7</v>
      </c>
      <c r="F238" s="153">
        <f t="shared" si="16"/>
        <v>0.7</v>
      </c>
      <c r="G238" s="153">
        <v>0.7</v>
      </c>
      <c r="H238" s="153">
        <v>0.7</v>
      </c>
      <c r="I238" s="153">
        <v>0.5</v>
      </c>
      <c r="J238" s="153">
        <v>0.5</v>
      </c>
      <c r="K238" s="153"/>
      <c r="L238" s="143"/>
      <c r="M238" s="1"/>
      <c r="N238" s="1"/>
    </row>
    <row r="239" spans="1:14" ht="15" customHeight="1">
      <c r="A239" s="232">
        <v>74</v>
      </c>
      <c r="B239" s="231"/>
      <c r="C239" s="61" t="s">
        <v>93</v>
      </c>
      <c r="D239" s="233" t="s">
        <v>132</v>
      </c>
      <c r="E239" s="153">
        <f t="shared" si="16"/>
        <v>631.4000000000001</v>
      </c>
      <c r="F239" s="153">
        <f t="shared" si="16"/>
        <v>631.3000000000001</v>
      </c>
      <c r="G239" s="153">
        <f>594.8+G240+1.7+5.6+27.9</f>
        <v>630.7</v>
      </c>
      <c r="H239" s="153">
        <v>630.7</v>
      </c>
      <c r="I239" s="153">
        <f>389.5+I240+1.3+16.9</f>
        <v>408.2</v>
      </c>
      <c r="J239" s="153">
        <v>408.2</v>
      </c>
      <c r="K239" s="153">
        <v>0.7</v>
      </c>
      <c r="L239" s="143">
        <v>0.6</v>
      </c>
      <c r="M239" s="1"/>
      <c r="N239" s="1"/>
    </row>
    <row r="240" spans="1:14" ht="15" customHeight="1">
      <c r="A240" s="232"/>
      <c r="B240" s="231"/>
      <c r="C240" s="200" t="s">
        <v>420</v>
      </c>
      <c r="D240" s="233"/>
      <c r="E240" s="153">
        <f t="shared" si="16"/>
        <v>0.7</v>
      </c>
      <c r="F240" s="153">
        <f t="shared" si="16"/>
        <v>0.7</v>
      </c>
      <c r="G240" s="153">
        <v>0.7</v>
      </c>
      <c r="H240" s="153">
        <v>0.7</v>
      </c>
      <c r="I240" s="153">
        <v>0.5</v>
      </c>
      <c r="J240" s="153">
        <v>0.5</v>
      </c>
      <c r="K240" s="153"/>
      <c r="L240" s="143"/>
      <c r="M240" s="1"/>
      <c r="N240" s="1"/>
    </row>
    <row r="241" spans="1:14" ht="15" customHeight="1">
      <c r="A241" s="232">
        <v>75</v>
      </c>
      <c r="B241" s="231"/>
      <c r="C241" s="33" t="s">
        <v>81</v>
      </c>
      <c r="D241" s="233" t="s">
        <v>133</v>
      </c>
      <c r="E241" s="153">
        <f t="shared" si="16"/>
        <v>318.49999999999994</v>
      </c>
      <c r="F241" s="153">
        <f t="shared" si="16"/>
        <v>318.5</v>
      </c>
      <c r="G241" s="153">
        <f>301.7-10+G242+16.4</f>
        <v>308.49999999999994</v>
      </c>
      <c r="H241" s="153">
        <v>308.5</v>
      </c>
      <c r="I241" s="153">
        <f>187.9+I242+8.1</f>
        <v>196.3</v>
      </c>
      <c r="J241" s="153">
        <v>196.3</v>
      </c>
      <c r="K241" s="153">
        <v>10</v>
      </c>
      <c r="L241" s="143">
        <v>10</v>
      </c>
      <c r="M241" s="1"/>
      <c r="N241" s="1"/>
    </row>
    <row r="242" spans="1:14" ht="15" customHeight="1">
      <c r="A242" s="232"/>
      <c r="B242" s="231"/>
      <c r="C242" s="200" t="s">
        <v>420</v>
      </c>
      <c r="D242" s="233"/>
      <c r="E242" s="153">
        <f t="shared" si="16"/>
        <v>0.4</v>
      </c>
      <c r="F242" s="153">
        <f t="shared" si="16"/>
        <v>0.4</v>
      </c>
      <c r="G242" s="153">
        <v>0.4</v>
      </c>
      <c r="H242" s="153">
        <v>0.4</v>
      </c>
      <c r="I242" s="153">
        <v>0.3</v>
      </c>
      <c r="J242" s="153">
        <v>0.3</v>
      </c>
      <c r="K242" s="153"/>
      <c r="L242" s="143"/>
      <c r="M242" s="1"/>
      <c r="N242" s="1"/>
    </row>
    <row r="243" spans="1:14" ht="15" customHeight="1">
      <c r="A243" s="55">
        <v>76</v>
      </c>
      <c r="B243" s="9"/>
      <c r="C243" s="64" t="s">
        <v>108</v>
      </c>
      <c r="D243" s="124"/>
      <c r="E243" s="153">
        <f>+G243+K243</f>
        <v>572</v>
      </c>
      <c r="F243" s="153">
        <f>+H243+L243</f>
        <v>545.4</v>
      </c>
      <c r="G243" s="153">
        <f aca="true" t="shared" si="19" ref="G243:L243">+G245+G246+G247+G248</f>
        <v>315.4</v>
      </c>
      <c r="H243" s="153">
        <f t="shared" si="19"/>
        <v>297.7</v>
      </c>
      <c r="I243" s="153">
        <f t="shared" si="19"/>
        <v>32.3</v>
      </c>
      <c r="J243" s="153">
        <f t="shared" si="19"/>
        <v>32.3</v>
      </c>
      <c r="K243" s="153">
        <f t="shared" si="19"/>
        <v>256.6</v>
      </c>
      <c r="L243" s="153">
        <f t="shared" si="19"/>
        <v>247.70000000000002</v>
      </c>
      <c r="M243" s="1"/>
      <c r="N243" s="1"/>
    </row>
    <row r="244" spans="1:14" ht="15" customHeight="1">
      <c r="A244" s="55"/>
      <c r="B244" s="9"/>
      <c r="C244" s="203" t="s">
        <v>121</v>
      </c>
      <c r="D244" s="124"/>
      <c r="E244" s="153"/>
      <c r="F244" s="153"/>
      <c r="G244" s="153"/>
      <c r="H244" s="153"/>
      <c r="I244" s="153"/>
      <c r="J244" s="153"/>
      <c r="K244" s="153"/>
      <c r="L244" s="143"/>
      <c r="M244" s="1"/>
      <c r="N244" s="1"/>
    </row>
    <row r="245" spans="1:14" ht="26.25" customHeight="1">
      <c r="A245" s="73" t="s">
        <v>488</v>
      </c>
      <c r="B245" s="9"/>
      <c r="C245" s="64" t="s">
        <v>3</v>
      </c>
      <c r="D245" s="162" t="s">
        <v>357</v>
      </c>
      <c r="E245" s="153">
        <f>+G245+K245</f>
        <v>252</v>
      </c>
      <c r="F245" s="153">
        <f>+H245+L245</f>
        <v>245.4</v>
      </c>
      <c r="G245" s="153">
        <f>236.5+6+7.4+2.1</f>
        <v>252</v>
      </c>
      <c r="H245" s="153">
        <f>44.1+201.3</f>
        <v>245.4</v>
      </c>
      <c r="I245" s="153">
        <f>30.7+1.6</f>
        <v>32.3</v>
      </c>
      <c r="J245" s="153">
        <v>32.3</v>
      </c>
      <c r="K245" s="153"/>
      <c r="L245" s="143"/>
      <c r="M245" s="1"/>
      <c r="N245" s="1"/>
    </row>
    <row r="246" spans="1:14" ht="24.75" customHeight="1">
      <c r="A246" s="73" t="s">
        <v>489</v>
      </c>
      <c r="B246" s="9"/>
      <c r="C246" s="12" t="s">
        <v>397</v>
      </c>
      <c r="D246" s="162" t="s">
        <v>134</v>
      </c>
      <c r="E246" s="153">
        <f aca="true" t="shared" si="20" ref="E246:F248">+G246+K246</f>
        <v>11</v>
      </c>
      <c r="F246" s="153">
        <f t="shared" si="20"/>
        <v>11</v>
      </c>
      <c r="G246" s="153">
        <v>11</v>
      </c>
      <c r="H246" s="153">
        <v>11</v>
      </c>
      <c r="I246" s="153"/>
      <c r="J246" s="153"/>
      <c r="K246" s="153"/>
      <c r="L246" s="143"/>
      <c r="M246" s="1"/>
      <c r="N246" s="1"/>
    </row>
    <row r="247" spans="1:14" ht="12.75">
      <c r="A247" s="73" t="s">
        <v>490</v>
      </c>
      <c r="B247" s="9"/>
      <c r="C247" s="12" t="s">
        <v>398</v>
      </c>
      <c r="D247" s="162" t="s">
        <v>134</v>
      </c>
      <c r="E247" s="153">
        <f t="shared" si="20"/>
        <v>15</v>
      </c>
      <c r="F247" s="153">
        <f t="shared" si="20"/>
        <v>14.8</v>
      </c>
      <c r="G247" s="153">
        <v>15</v>
      </c>
      <c r="H247" s="153">
        <v>14.8</v>
      </c>
      <c r="I247" s="153"/>
      <c r="J247" s="153"/>
      <c r="K247" s="153"/>
      <c r="L247" s="143"/>
      <c r="M247" s="1"/>
      <c r="N247" s="1"/>
    </row>
    <row r="248" spans="1:14" ht="25.5">
      <c r="A248" s="73" t="s">
        <v>491</v>
      </c>
      <c r="B248" s="9"/>
      <c r="C248" s="67" t="s">
        <v>309</v>
      </c>
      <c r="D248" s="162"/>
      <c r="E248" s="153">
        <f t="shared" si="20"/>
        <v>294</v>
      </c>
      <c r="F248" s="153">
        <f t="shared" si="20"/>
        <v>274.20000000000005</v>
      </c>
      <c r="G248" s="153">
        <f>SUM(G249:G253)</f>
        <v>37.4</v>
      </c>
      <c r="H248" s="153">
        <f>SUM(H249:H253)</f>
        <v>26.5</v>
      </c>
      <c r="I248" s="153">
        <f>SUM(I249:I253)</f>
        <v>0</v>
      </c>
      <c r="J248" s="153"/>
      <c r="K248" s="153">
        <f>SUM(K249:K253)</f>
        <v>256.6</v>
      </c>
      <c r="L248" s="153">
        <f>SUM(L249:L253)</f>
        <v>247.70000000000002</v>
      </c>
      <c r="M248" s="1"/>
      <c r="N248" s="1"/>
    </row>
    <row r="249" spans="1:14" ht="25.5">
      <c r="A249" s="73" t="s">
        <v>492</v>
      </c>
      <c r="B249" s="9"/>
      <c r="C249" s="12" t="s">
        <v>310</v>
      </c>
      <c r="D249" s="162" t="s">
        <v>254</v>
      </c>
      <c r="E249" s="153">
        <f>+G249</f>
        <v>9.999999999999996</v>
      </c>
      <c r="F249" s="201">
        <f>+H249</f>
        <v>0</v>
      </c>
      <c r="G249" s="153">
        <f>33.8-23.8</f>
        <v>9.999999999999996</v>
      </c>
      <c r="H249" s="201">
        <v>0</v>
      </c>
      <c r="I249" s="153"/>
      <c r="J249" s="153"/>
      <c r="K249" s="153"/>
      <c r="L249" s="143"/>
      <c r="M249" s="1"/>
      <c r="N249" s="1"/>
    </row>
    <row r="250" spans="1:14" ht="15" customHeight="1">
      <c r="A250" s="73" t="s">
        <v>493</v>
      </c>
      <c r="B250" s="9"/>
      <c r="C250" s="64" t="s">
        <v>396</v>
      </c>
      <c r="D250" s="162" t="s">
        <v>131</v>
      </c>
      <c r="E250" s="153">
        <f aca="true" t="shared" si="21" ref="E250:F255">+G250+K250</f>
        <v>8</v>
      </c>
      <c r="F250" s="153">
        <f t="shared" si="21"/>
        <v>8</v>
      </c>
      <c r="G250" s="153">
        <f>2.1-2.1</f>
        <v>0</v>
      </c>
      <c r="H250" s="153"/>
      <c r="I250" s="153"/>
      <c r="J250" s="153"/>
      <c r="K250" s="153">
        <f>8-2.1+2.1</f>
        <v>8</v>
      </c>
      <c r="L250" s="143">
        <v>8</v>
      </c>
      <c r="M250" s="1"/>
      <c r="N250" s="1"/>
    </row>
    <row r="251" spans="1:14" ht="15" customHeight="1">
      <c r="A251" s="73" t="s">
        <v>494</v>
      </c>
      <c r="B251" s="9"/>
      <c r="C251" s="64" t="s">
        <v>311</v>
      </c>
      <c r="D251" s="124" t="s">
        <v>131</v>
      </c>
      <c r="E251" s="153">
        <f t="shared" si="21"/>
        <v>18</v>
      </c>
      <c r="F251" s="153">
        <f t="shared" si="21"/>
        <v>18</v>
      </c>
      <c r="G251" s="153">
        <v>18</v>
      </c>
      <c r="H251" s="153">
        <v>18</v>
      </c>
      <c r="I251" s="153"/>
      <c r="J251" s="153"/>
      <c r="K251" s="153"/>
      <c r="L251" s="143"/>
      <c r="M251" s="1"/>
      <c r="N251" s="1"/>
    </row>
    <row r="252" spans="1:14" ht="38.25">
      <c r="A252" s="73" t="s">
        <v>495</v>
      </c>
      <c r="B252" s="9"/>
      <c r="C252" s="64" t="s">
        <v>620</v>
      </c>
      <c r="D252" s="162" t="s">
        <v>255</v>
      </c>
      <c r="E252" s="153">
        <f t="shared" si="21"/>
        <v>243</v>
      </c>
      <c r="F252" s="153">
        <f t="shared" si="21"/>
        <v>235.1</v>
      </c>
      <c r="G252" s="153">
        <f>0.4+0.2</f>
        <v>0.6000000000000001</v>
      </c>
      <c r="H252" s="153">
        <v>0.2</v>
      </c>
      <c r="I252" s="153"/>
      <c r="J252" s="153"/>
      <c r="K252" s="153">
        <f>250-0.4-0.2-7</f>
        <v>242.4</v>
      </c>
      <c r="L252" s="143">
        <v>234.9</v>
      </c>
      <c r="M252" s="1"/>
      <c r="N252" s="1"/>
    </row>
    <row r="253" spans="1:14" ht="15" customHeight="1">
      <c r="A253" s="73" t="s">
        <v>496</v>
      </c>
      <c r="B253" s="9"/>
      <c r="C253" s="64" t="s">
        <v>312</v>
      </c>
      <c r="D253" s="124" t="s">
        <v>358</v>
      </c>
      <c r="E253" s="153">
        <f t="shared" si="21"/>
        <v>15</v>
      </c>
      <c r="F253" s="153">
        <f t="shared" si="21"/>
        <v>13.100000000000001</v>
      </c>
      <c r="G253" s="153">
        <f>1.1+1+6.7</f>
        <v>8.8</v>
      </c>
      <c r="H253" s="153">
        <v>8.3</v>
      </c>
      <c r="I253" s="153"/>
      <c r="J253" s="153"/>
      <c r="K253" s="153">
        <f>6.9-1+0.3</f>
        <v>6.2</v>
      </c>
      <c r="L253" s="143">
        <v>4.8</v>
      </c>
      <c r="M253" s="1"/>
      <c r="N253" s="1"/>
    </row>
    <row r="254" spans="1:14" ht="15" customHeight="1">
      <c r="A254" s="55">
        <v>77</v>
      </c>
      <c r="B254" s="9"/>
      <c r="C254" s="61" t="s">
        <v>6</v>
      </c>
      <c r="D254" s="124" t="s">
        <v>133</v>
      </c>
      <c r="E254" s="153">
        <f t="shared" si="21"/>
        <v>5.3999999999999995</v>
      </c>
      <c r="F254" s="153">
        <f t="shared" si="21"/>
        <v>5.4</v>
      </c>
      <c r="G254" s="153">
        <f>5.3+0.1</f>
        <v>5.3999999999999995</v>
      </c>
      <c r="H254" s="153">
        <v>5.4</v>
      </c>
      <c r="I254" s="153">
        <f>4+0.1</f>
        <v>4.1</v>
      </c>
      <c r="J254" s="153">
        <v>4.1</v>
      </c>
      <c r="K254" s="153"/>
      <c r="L254" s="143"/>
      <c r="M254" s="1"/>
      <c r="N254" s="1"/>
    </row>
    <row r="255" spans="1:14" ht="25.5">
      <c r="A255" s="55">
        <v>78</v>
      </c>
      <c r="B255" s="7" t="s">
        <v>177</v>
      </c>
      <c r="C255" s="68" t="s">
        <v>178</v>
      </c>
      <c r="D255" s="124"/>
      <c r="E255" s="155">
        <f t="shared" si="21"/>
        <v>486.79999999999995</v>
      </c>
      <c r="F255" s="155">
        <f t="shared" si="21"/>
        <v>381.99999999999994</v>
      </c>
      <c r="G255" s="155">
        <f>+G256</f>
        <v>220.4</v>
      </c>
      <c r="H255" s="155">
        <f>+H256</f>
        <v>156.2</v>
      </c>
      <c r="I255" s="155">
        <f>+I256</f>
        <v>0</v>
      </c>
      <c r="J255" s="155"/>
      <c r="K255" s="155">
        <f>+K256</f>
        <v>266.4</v>
      </c>
      <c r="L255" s="155">
        <f>+L256</f>
        <v>225.79999999999995</v>
      </c>
      <c r="M255" s="1"/>
      <c r="N255" s="1"/>
    </row>
    <row r="256" spans="1:14" ht="15" customHeight="1">
      <c r="A256" s="55">
        <v>79</v>
      </c>
      <c r="B256" s="9"/>
      <c r="C256" s="64" t="s">
        <v>108</v>
      </c>
      <c r="D256" s="124"/>
      <c r="E256" s="153">
        <f>+G256+K256</f>
        <v>486.79999999999995</v>
      </c>
      <c r="F256" s="153">
        <f>+H256+L256</f>
        <v>381.99999999999994</v>
      </c>
      <c r="G256" s="153">
        <f>+G258+G259+G260+G261</f>
        <v>220.4</v>
      </c>
      <c r="H256" s="153">
        <f>+H258+H259+H260+H261</f>
        <v>156.2</v>
      </c>
      <c r="I256" s="153">
        <f>+I258+I259+I260+I261</f>
        <v>0</v>
      </c>
      <c r="J256" s="153"/>
      <c r="K256" s="153">
        <f>+K258+K259+K260+K261</f>
        <v>266.4</v>
      </c>
      <c r="L256" s="153">
        <f>+L258+L259+L260+L261</f>
        <v>225.79999999999995</v>
      </c>
      <c r="M256" s="1"/>
      <c r="N256" s="1"/>
    </row>
    <row r="257" spans="1:14" ht="15" customHeight="1">
      <c r="A257" s="55"/>
      <c r="B257" s="9"/>
      <c r="C257" s="38" t="s">
        <v>109</v>
      </c>
      <c r="D257" s="124"/>
      <c r="E257" s="153"/>
      <c r="F257" s="153"/>
      <c r="G257" s="153"/>
      <c r="H257" s="153"/>
      <c r="I257" s="153"/>
      <c r="J257" s="153"/>
      <c r="K257" s="153"/>
      <c r="L257" s="143"/>
      <c r="M257" s="1"/>
      <c r="N257" s="1"/>
    </row>
    <row r="258" spans="1:14" ht="15" customHeight="1">
      <c r="A258" s="55" t="s">
        <v>497</v>
      </c>
      <c r="B258" s="9"/>
      <c r="C258" s="38" t="s">
        <v>589</v>
      </c>
      <c r="D258" s="124" t="s">
        <v>205</v>
      </c>
      <c r="E258" s="153">
        <f aca="true" t="shared" si="22" ref="E258:F263">+G258+K258</f>
        <v>0</v>
      </c>
      <c r="F258" s="153">
        <f t="shared" si="22"/>
        <v>0</v>
      </c>
      <c r="G258" s="153">
        <f>0.8-0.8</f>
        <v>0</v>
      </c>
      <c r="H258" s="153"/>
      <c r="I258" s="153"/>
      <c r="J258" s="153"/>
      <c r="K258" s="153"/>
      <c r="L258" s="143"/>
      <c r="M258" s="1"/>
      <c r="N258" s="1"/>
    </row>
    <row r="259" spans="1:14" ht="25.5">
      <c r="A259" s="73" t="s">
        <v>498</v>
      </c>
      <c r="B259" s="9"/>
      <c r="C259" s="12" t="s">
        <v>386</v>
      </c>
      <c r="D259" s="124" t="s">
        <v>179</v>
      </c>
      <c r="E259" s="153">
        <f t="shared" si="22"/>
        <v>44.4</v>
      </c>
      <c r="F259" s="153">
        <f t="shared" si="22"/>
        <v>44.4</v>
      </c>
      <c r="G259" s="153">
        <v>44.4</v>
      </c>
      <c r="H259" s="153">
        <v>44.4</v>
      </c>
      <c r="I259" s="153"/>
      <c r="J259" s="153"/>
      <c r="K259" s="153"/>
      <c r="L259" s="143"/>
      <c r="M259" s="1"/>
      <c r="N259" s="1"/>
    </row>
    <row r="260" spans="1:14" ht="12.75">
      <c r="A260" s="73" t="s">
        <v>499</v>
      </c>
      <c r="B260" s="9"/>
      <c r="C260" s="12" t="s">
        <v>348</v>
      </c>
      <c r="D260" s="124" t="s">
        <v>359</v>
      </c>
      <c r="E260" s="153">
        <f t="shared" si="22"/>
        <v>40</v>
      </c>
      <c r="F260" s="153">
        <f t="shared" si="22"/>
        <v>40</v>
      </c>
      <c r="G260" s="153">
        <v>40</v>
      </c>
      <c r="H260" s="153">
        <v>40</v>
      </c>
      <c r="I260" s="153"/>
      <c r="J260" s="153"/>
      <c r="K260" s="153"/>
      <c r="L260" s="143"/>
      <c r="M260" s="1"/>
      <c r="N260" s="1"/>
    </row>
    <row r="261" spans="1:14" ht="25.5">
      <c r="A261" s="73" t="s">
        <v>594</v>
      </c>
      <c r="B261" s="9"/>
      <c r="C261" s="67" t="s">
        <v>309</v>
      </c>
      <c r="D261" s="124"/>
      <c r="E261" s="153">
        <f t="shared" si="22"/>
        <v>402.4</v>
      </c>
      <c r="F261" s="153">
        <f t="shared" si="22"/>
        <v>297.59999999999997</v>
      </c>
      <c r="G261" s="153">
        <f>SUM(G262:G280)</f>
        <v>136</v>
      </c>
      <c r="H261" s="153">
        <f>SUM(H262:H280)</f>
        <v>71.8</v>
      </c>
      <c r="I261" s="153">
        <f>SUM(I262:I280)</f>
        <v>0</v>
      </c>
      <c r="J261" s="153"/>
      <c r="K261" s="153">
        <f>SUM(K262:K280)</f>
        <v>266.4</v>
      </c>
      <c r="L261" s="153">
        <f>SUM(L262:L280)</f>
        <v>225.79999999999995</v>
      </c>
      <c r="M261" s="1"/>
      <c r="N261" s="1"/>
    </row>
    <row r="262" spans="1:14" ht="25.5">
      <c r="A262" s="73" t="s">
        <v>595</v>
      </c>
      <c r="B262" s="9"/>
      <c r="C262" s="67" t="s">
        <v>313</v>
      </c>
      <c r="D262" s="124" t="s">
        <v>179</v>
      </c>
      <c r="E262" s="153">
        <f t="shared" si="22"/>
        <v>2</v>
      </c>
      <c r="F262" s="201">
        <f t="shared" si="22"/>
        <v>0</v>
      </c>
      <c r="G262" s="153">
        <f>3-1</f>
        <v>2</v>
      </c>
      <c r="H262" s="201">
        <v>0</v>
      </c>
      <c r="I262" s="153"/>
      <c r="J262" s="153"/>
      <c r="K262" s="153">
        <f>3-3</f>
        <v>0</v>
      </c>
      <c r="L262" s="143"/>
      <c r="M262" s="1"/>
      <c r="N262" s="1"/>
    </row>
    <row r="263" spans="1:14" ht="25.5">
      <c r="A263" s="73" t="s">
        <v>596</v>
      </c>
      <c r="B263" s="9"/>
      <c r="C263" s="167" t="s">
        <v>236</v>
      </c>
      <c r="D263" s="124" t="s">
        <v>205</v>
      </c>
      <c r="E263" s="153">
        <f t="shared" si="22"/>
        <v>61.7</v>
      </c>
      <c r="F263" s="153">
        <f t="shared" si="22"/>
        <v>61.6</v>
      </c>
      <c r="G263" s="153">
        <f>40+20+1.7-49.6</f>
        <v>12.100000000000001</v>
      </c>
      <c r="H263" s="153">
        <v>12</v>
      </c>
      <c r="I263" s="153"/>
      <c r="J263" s="153"/>
      <c r="K263" s="153">
        <v>49.6</v>
      </c>
      <c r="L263" s="143">
        <v>49.6</v>
      </c>
      <c r="M263" s="1"/>
      <c r="N263" s="1"/>
    </row>
    <row r="264" spans="1:14" ht="25.5">
      <c r="A264" s="73" t="s">
        <v>597</v>
      </c>
      <c r="B264" s="9"/>
      <c r="C264" s="39" t="s">
        <v>314</v>
      </c>
      <c r="D264" s="162" t="s">
        <v>644</v>
      </c>
      <c r="E264" s="153">
        <f aca="true" t="shared" si="23" ref="E264:F279">+G264+K264</f>
        <v>16.1</v>
      </c>
      <c r="F264" s="153">
        <f t="shared" si="23"/>
        <v>15.9</v>
      </c>
      <c r="G264" s="153">
        <v>16.1</v>
      </c>
      <c r="H264" s="153">
        <v>15.9</v>
      </c>
      <c r="I264" s="153"/>
      <c r="J264" s="153"/>
      <c r="K264" s="153"/>
      <c r="L264" s="143"/>
      <c r="M264" s="1"/>
      <c r="N264" s="1"/>
    </row>
    <row r="265" spans="1:14" ht="15" customHeight="1">
      <c r="A265" s="73" t="s">
        <v>598</v>
      </c>
      <c r="B265" s="9"/>
      <c r="C265" s="209" t="s">
        <v>366</v>
      </c>
      <c r="D265" s="124" t="s">
        <v>131</v>
      </c>
      <c r="E265" s="153">
        <f t="shared" si="23"/>
        <v>30</v>
      </c>
      <c r="F265" s="201">
        <f t="shared" si="23"/>
        <v>0</v>
      </c>
      <c r="G265" s="153">
        <v>30</v>
      </c>
      <c r="H265" s="201">
        <v>0</v>
      </c>
      <c r="I265" s="153"/>
      <c r="J265" s="153"/>
      <c r="K265" s="153"/>
      <c r="L265" s="143"/>
      <c r="M265" s="1"/>
      <c r="N265" s="1"/>
    </row>
    <row r="266" spans="1:14" ht="15" customHeight="1">
      <c r="A266" s="73" t="s">
        <v>599</v>
      </c>
      <c r="B266" s="9"/>
      <c r="C266" s="12" t="s">
        <v>635</v>
      </c>
      <c r="D266" s="124" t="s">
        <v>131</v>
      </c>
      <c r="E266" s="153">
        <f t="shared" si="23"/>
        <v>20</v>
      </c>
      <c r="F266" s="201">
        <f t="shared" si="23"/>
        <v>0</v>
      </c>
      <c r="G266" s="153">
        <v>20</v>
      </c>
      <c r="H266" s="201">
        <v>0</v>
      </c>
      <c r="I266" s="153"/>
      <c r="J266" s="153"/>
      <c r="K266" s="153"/>
      <c r="L266" s="143"/>
      <c r="M266" s="1"/>
      <c r="N266" s="1"/>
    </row>
    <row r="267" spans="1:14" ht="25.5">
      <c r="A267" s="73" t="s">
        <v>600</v>
      </c>
      <c r="B267" s="9"/>
      <c r="C267" s="167" t="s">
        <v>315</v>
      </c>
      <c r="D267" s="124" t="s">
        <v>205</v>
      </c>
      <c r="E267" s="153">
        <f t="shared" si="23"/>
        <v>10</v>
      </c>
      <c r="F267" s="153">
        <f t="shared" si="23"/>
        <v>10</v>
      </c>
      <c r="G267" s="153">
        <v>10</v>
      </c>
      <c r="H267" s="153">
        <v>10</v>
      </c>
      <c r="I267" s="153"/>
      <c r="J267" s="153"/>
      <c r="K267" s="153"/>
      <c r="L267" s="143"/>
      <c r="M267" s="1"/>
      <c r="N267" s="1"/>
    </row>
    <row r="268" spans="1:14" ht="25.5">
      <c r="A268" s="73" t="s">
        <v>601</v>
      </c>
      <c r="B268" s="9"/>
      <c r="C268" s="39" t="s">
        <v>237</v>
      </c>
      <c r="D268" s="124" t="s">
        <v>249</v>
      </c>
      <c r="E268" s="153">
        <f t="shared" si="23"/>
        <v>6.6</v>
      </c>
      <c r="F268" s="153">
        <f t="shared" si="23"/>
        <v>6.6</v>
      </c>
      <c r="G268" s="153">
        <f>3+3.6</f>
        <v>6.6</v>
      </c>
      <c r="H268" s="153">
        <v>6.6</v>
      </c>
      <c r="I268" s="153"/>
      <c r="J268" s="153"/>
      <c r="K268" s="153"/>
      <c r="L268" s="143"/>
      <c r="M268" s="1"/>
      <c r="N268" s="1"/>
    </row>
    <row r="269" spans="1:14" ht="15" customHeight="1">
      <c r="A269" s="73" t="s">
        <v>602</v>
      </c>
      <c r="B269" s="9"/>
      <c r="C269" s="39" t="s">
        <v>406</v>
      </c>
      <c r="D269" s="162" t="s">
        <v>158</v>
      </c>
      <c r="E269" s="153">
        <f t="shared" si="23"/>
        <v>20</v>
      </c>
      <c r="F269" s="153">
        <f t="shared" si="23"/>
        <v>20</v>
      </c>
      <c r="G269" s="153"/>
      <c r="H269" s="153"/>
      <c r="I269" s="153"/>
      <c r="J269" s="153"/>
      <c r="K269" s="153">
        <v>20</v>
      </c>
      <c r="L269" s="143">
        <v>20</v>
      </c>
      <c r="M269" s="1"/>
      <c r="N269" s="1"/>
    </row>
    <row r="270" spans="1:14" ht="15" customHeight="1">
      <c r="A270" s="73" t="s">
        <v>603</v>
      </c>
      <c r="B270" s="9"/>
      <c r="C270" s="167" t="s">
        <v>316</v>
      </c>
      <c r="D270" s="124" t="s">
        <v>249</v>
      </c>
      <c r="E270" s="153">
        <f t="shared" si="23"/>
        <v>9.2</v>
      </c>
      <c r="F270" s="153">
        <f t="shared" si="23"/>
        <v>8.9</v>
      </c>
      <c r="G270" s="153">
        <v>9.2</v>
      </c>
      <c r="H270" s="153">
        <v>8.9</v>
      </c>
      <c r="I270" s="153"/>
      <c r="J270" s="153"/>
      <c r="K270" s="153"/>
      <c r="L270" s="143"/>
      <c r="M270" s="1"/>
      <c r="N270" s="1"/>
    </row>
    <row r="271" spans="1:14" ht="38.25">
      <c r="A271" s="73" t="s">
        <v>604</v>
      </c>
      <c r="B271" s="9"/>
      <c r="C271" s="167" t="s">
        <v>317</v>
      </c>
      <c r="D271" s="124" t="s">
        <v>205</v>
      </c>
      <c r="E271" s="153">
        <f t="shared" si="23"/>
        <v>3</v>
      </c>
      <c r="F271" s="153">
        <f t="shared" si="23"/>
        <v>3</v>
      </c>
      <c r="G271" s="153">
        <f>2+1</f>
        <v>3</v>
      </c>
      <c r="H271" s="153">
        <v>3</v>
      </c>
      <c r="I271" s="153"/>
      <c r="J271" s="153"/>
      <c r="K271" s="153"/>
      <c r="L271" s="143"/>
      <c r="M271" s="1"/>
      <c r="N271" s="1"/>
    </row>
    <row r="272" spans="1:14" ht="15" customHeight="1">
      <c r="A272" s="73" t="s">
        <v>605</v>
      </c>
      <c r="B272" s="9"/>
      <c r="C272" s="167" t="s">
        <v>318</v>
      </c>
      <c r="D272" s="124" t="s">
        <v>205</v>
      </c>
      <c r="E272" s="153">
        <f t="shared" si="23"/>
        <v>8</v>
      </c>
      <c r="F272" s="153">
        <f t="shared" si="23"/>
        <v>8</v>
      </c>
      <c r="G272" s="153">
        <f>5+3</f>
        <v>8</v>
      </c>
      <c r="H272" s="153">
        <v>8</v>
      </c>
      <c r="I272" s="153"/>
      <c r="J272" s="153"/>
      <c r="K272" s="153"/>
      <c r="L272" s="143"/>
      <c r="M272" s="1"/>
      <c r="N272" s="1"/>
    </row>
    <row r="273" spans="1:14" ht="15" customHeight="1">
      <c r="A273" s="73" t="s">
        <v>606</v>
      </c>
      <c r="B273" s="9"/>
      <c r="C273" s="167" t="s">
        <v>319</v>
      </c>
      <c r="D273" s="124" t="s">
        <v>205</v>
      </c>
      <c r="E273" s="153">
        <f t="shared" si="23"/>
        <v>5</v>
      </c>
      <c r="F273" s="153">
        <f t="shared" si="23"/>
        <v>5</v>
      </c>
      <c r="G273" s="153">
        <v>5</v>
      </c>
      <c r="H273" s="153">
        <v>5</v>
      </c>
      <c r="I273" s="153"/>
      <c r="J273" s="153"/>
      <c r="K273" s="153"/>
      <c r="L273" s="143"/>
      <c r="M273" s="1"/>
      <c r="N273" s="1"/>
    </row>
    <row r="274" spans="1:14" ht="15" customHeight="1">
      <c r="A274" s="73" t="s">
        <v>607</v>
      </c>
      <c r="B274" s="9"/>
      <c r="C274" s="167" t="s">
        <v>638</v>
      </c>
      <c r="D274" s="124" t="s">
        <v>207</v>
      </c>
      <c r="E274" s="153">
        <f t="shared" si="23"/>
        <v>105</v>
      </c>
      <c r="F274" s="153">
        <f t="shared" si="23"/>
        <v>90.89999999999999</v>
      </c>
      <c r="G274" s="153">
        <f>0.6+0.1</f>
        <v>0.7</v>
      </c>
      <c r="H274" s="153">
        <v>0.1</v>
      </c>
      <c r="I274" s="153"/>
      <c r="J274" s="153"/>
      <c r="K274" s="153">
        <f>36+19-0.6-0.1+50</f>
        <v>104.3</v>
      </c>
      <c r="L274" s="143">
        <v>90.8</v>
      </c>
      <c r="M274" s="1"/>
      <c r="N274" s="1"/>
    </row>
    <row r="275" spans="1:14" ht="25.5">
      <c r="A275" s="73" t="s">
        <v>608</v>
      </c>
      <c r="B275" s="9"/>
      <c r="C275" s="39" t="s">
        <v>320</v>
      </c>
      <c r="D275" s="124" t="s">
        <v>179</v>
      </c>
      <c r="E275" s="153">
        <f t="shared" si="23"/>
        <v>10</v>
      </c>
      <c r="F275" s="153">
        <f t="shared" si="23"/>
        <v>7.3</v>
      </c>
      <c r="G275" s="153">
        <v>0.2</v>
      </c>
      <c r="H275" s="153">
        <v>0.1</v>
      </c>
      <c r="I275" s="153"/>
      <c r="J275" s="153"/>
      <c r="K275" s="153">
        <v>9.8</v>
      </c>
      <c r="L275" s="143">
        <v>7.2</v>
      </c>
      <c r="M275" s="1"/>
      <c r="N275" s="1"/>
    </row>
    <row r="276" spans="1:14" ht="25.5">
      <c r="A276" s="73" t="s">
        <v>609</v>
      </c>
      <c r="B276" s="9"/>
      <c r="C276" s="39" t="s">
        <v>321</v>
      </c>
      <c r="D276" s="124" t="s">
        <v>179</v>
      </c>
      <c r="E276" s="153">
        <f t="shared" si="23"/>
        <v>60</v>
      </c>
      <c r="F276" s="153">
        <f t="shared" si="23"/>
        <v>38.5</v>
      </c>
      <c r="G276" s="153">
        <v>0.5</v>
      </c>
      <c r="H276" s="201">
        <v>0</v>
      </c>
      <c r="I276" s="153"/>
      <c r="J276" s="153"/>
      <c r="K276" s="153">
        <f>49.5+10</f>
        <v>59.5</v>
      </c>
      <c r="L276" s="143">
        <v>38.5</v>
      </c>
      <c r="M276" s="1"/>
      <c r="N276" s="1"/>
    </row>
    <row r="277" spans="1:14" ht="15" customHeight="1">
      <c r="A277" s="73" t="s">
        <v>610</v>
      </c>
      <c r="B277" s="9"/>
      <c r="C277" s="39" t="s">
        <v>322</v>
      </c>
      <c r="D277" s="124" t="s">
        <v>361</v>
      </c>
      <c r="E277" s="153">
        <f t="shared" si="23"/>
        <v>23.5</v>
      </c>
      <c r="F277" s="153">
        <f t="shared" si="23"/>
        <v>19.7</v>
      </c>
      <c r="G277" s="153">
        <v>0.3</v>
      </c>
      <c r="H277" s="201">
        <v>0</v>
      </c>
      <c r="I277" s="153"/>
      <c r="J277" s="153"/>
      <c r="K277" s="153">
        <v>23.2</v>
      </c>
      <c r="L277" s="143">
        <v>19.7</v>
      </c>
      <c r="M277" s="1"/>
      <c r="N277" s="1"/>
    </row>
    <row r="278" spans="1:14" ht="15" customHeight="1">
      <c r="A278" s="73" t="s">
        <v>611</v>
      </c>
      <c r="B278" s="9"/>
      <c r="C278" s="39" t="s">
        <v>323</v>
      </c>
      <c r="D278" s="124" t="s">
        <v>179</v>
      </c>
      <c r="E278" s="153">
        <f t="shared" si="23"/>
        <v>2</v>
      </c>
      <c r="F278" s="153">
        <f t="shared" si="23"/>
        <v>2</v>
      </c>
      <c r="G278" s="153">
        <v>2</v>
      </c>
      <c r="H278" s="153">
        <v>2</v>
      </c>
      <c r="I278" s="153"/>
      <c r="J278" s="153"/>
      <c r="K278" s="153"/>
      <c r="L278" s="143"/>
      <c r="M278" s="1"/>
      <c r="N278" s="1"/>
    </row>
    <row r="279" spans="1:14" ht="15" customHeight="1">
      <c r="A279" s="73" t="s">
        <v>612</v>
      </c>
      <c r="B279" s="9"/>
      <c r="C279" s="39" t="s">
        <v>324</v>
      </c>
      <c r="D279" s="124" t="s">
        <v>207</v>
      </c>
      <c r="E279" s="153">
        <f t="shared" si="23"/>
        <v>10</v>
      </c>
      <c r="F279" s="201">
        <f t="shared" si="23"/>
        <v>0</v>
      </c>
      <c r="G279" s="153">
        <v>10</v>
      </c>
      <c r="H279" s="201">
        <v>0</v>
      </c>
      <c r="I279" s="153"/>
      <c r="J279" s="153"/>
      <c r="K279" s="153"/>
      <c r="L279" s="143"/>
      <c r="M279" s="1"/>
      <c r="N279" s="1"/>
    </row>
    <row r="280" spans="1:14" ht="28.5" customHeight="1">
      <c r="A280" s="73" t="s">
        <v>642</v>
      </c>
      <c r="B280" s="9"/>
      <c r="C280" s="39" t="s">
        <v>643</v>
      </c>
      <c r="D280" s="124" t="s">
        <v>249</v>
      </c>
      <c r="E280" s="153">
        <f aca="true" t="shared" si="24" ref="E280:F282">+G280+K280</f>
        <v>0.3</v>
      </c>
      <c r="F280" s="153">
        <f t="shared" si="24"/>
        <v>0.2</v>
      </c>
      <c r="G280" s="153">
        <v>0.3</v>
      </c>
      <c r="H280" s="153">
        <v>0.2</v>
      </c>
      <c r="I280" s="153"/>
      <c r="J280" s="153"/>
      <c r="K280" s="153"/>
      <c r="L280" s="143"/>
      <c r="M280" s="1"/>
      <c r="N280" s="1"/>
    </row>
    <row r="281" spans="1:14" ht="18" customHeight="1">
      <c r="A281" s="55">
        <v>80</v>
      </c>
      <c r="B281" s="7" t="s">
        <v>135</v>
      </c>
      <c r="C281" s="74" t="s">
        <v>136</v>
      </c>
      <c r="D281" s="205"/>
      <c r="E281" s="152">
        <f t="shared" si="24"/>
        <v>1996.5</v>
      </c>
      <c r="F281" s="152">
        <f t="shared" si="24"/>
        <v>1535</v>
      </c>
      <c r="G281" s="152">
        <f>+G323+G324+G326+G325+G322+G327+G328+G330+G329+G331+G332+G282</f>
        <v>711.0999999999999</v>
      </c>
      <c r="H281" s="152">
        <f>+H323+H324+H326+H325+H322+H327+H328+H330+H329+H331+H332+H282</f>
        <v>634.4000000000001</v>
      </c>
      <c r="I281" s="152">
        <f>+I323+I324+I326+I325+I322+I327+I328+I330+I329+I331+I332+I282</f>
        <v>0</v>
      </c>
      <c r="J281" s="152"/>
      <c r="K281" s="152">
        <f>+K323+K324+K326+K325+K322+K327+K328+K330+K329+K331+K332+K282</f>
        <v>1285.4</v>
      </c>
      <c r="L281" s="152">
        <f>+L323+L324+L326+L325+L322+L327+L328+L330+L329+L331+L332+L282</f>
        <v>900.6</v>
      </c>
      <c r="M281" s="1"/>
      <c r="N281" s="1"/>
    </row>
    <row r="282" spans="1:14" ht="15" customHeight="1">
      <c r="A282" s="55">
        <v>81</v>
      </c>
      <c r="B282" s="9"/>
      <c r="C282" s="64" t="s">
        <v>108</v>
      </c>
      <c r="D282" s="162"/>
      <c r="E282" s="153">
        <f t="shared" si="24"/>
        <v>1712.9</v>
      </c>
      <c r="F282" s="153">
        <f t="shared" si="24"/>
        <v>1252.3000000000002</v>
      </c>
      <c r="G282" s="153">
        <f>G284+G320+G319+G321</f>
        <v>427.5</v>
      </c>
      <c r="H282" s="153">
        <f>H284+H320+H319+H321</f>
        <v>351.70000000000005</v>
      </c>
      <c r="I282" s="153">
        <f>I284+I320+I319+I321</f>
        <v>0</v>
      </c>
      <c r="J282" s="153"/>
      <c r="K282" s="153">
        <f>K284+K320+K319+K321</f>
        <v>1285.4</v>
      </c>
      <c r="L282" s="153">
        <f>L284+L320+L319+L321</f>
        <v>900.6</v>
      </c>
      <c r="M282" s="1"/>
      <c r="N282" s="1"/>
    </row>
    <row r="283" spans="1:14" ht="15" customHeight="1">
      <c r="A283" s="55"/>
      <c r="B283" s="9"/>
      <c r="C283" s="41" t="s">
        <v>109</v>
      </c>
      <c r="D283" s="162"/>
      <c r="E283" s="153"/>
      <c r="F283" s="153"/>
      <c r="G283" s="153"/>
      <c r="H283" s="153"/>
      <c r="I283" s="153"/>
      <c r="J283" s="153"/>
      <c r="K283" s="153"/>
      <c r="L283" s="143"/>
      <c r="M283" s="1"/>
      <c r="N283" s="1"/>
    </row>
    <row r="284" spans="1:14" ht="30" customHeight="1">
      <c r="A284" s="73" t="s">
        <v>500</v>
      </c>
      <c r="B284" s="9"/>
      <c r="C284" s="67" t="s">
        <v>309</v>
      </c>
      <c r="D284" s="162"/>
      <c r="E284" s="153">
        <f>+G284+K284</f>
        <v>1635.8000000000002</v>
      </c>
      <c r="F284" s="153">
        <f>+H284+L284</f>
        <v>1195.2</v>
      </c>
      <c r="G284" s="153">
        <f>SUM(G285:G318)</f>
        <v>385.4</v>
      </c>
      <c r="H284" s="153">
        <f>SUM(H285:H318)</f>
        <v>329.6</v>
      </c>
      <c r="I284" s="153">
        <f>SUM(I285:I318)</f>
        <v>0</v>
      </c>
      <c r="J284" s="153"/>
      <c r="K284" s="153">
        <f>SUM(K285:K318)</f>
        <v>1250.4</v>
      </c>
      <c r="L284" s="153">
        <f>SUM(L285:L318)</f>
        <v>865.6</v>
      </c>
      <c r="M284" s="1"/>
      <c r="N284" s="1"/>
    </row>
    <row r="285" spans="1:14" ht="29.25" customHeight="1">
      <c r="A285" s="73" t="s">
        <v>501</v>
      </c>
      <c r="B285" s="9"/>
      <c r="C285" s="167" t="s">
        <v>238</v>
      </c>
      <c r="D285" s="162" t="s">
        <v>63</v>
      </c>
      <c r="E285" s="153">
        <f aca="true" t="shared" si="25" ref="E285:F318">+G285+K285</f>
        <v>23.5</v>
      </c>
      <c r="F285" s="153">
        <f t="shared" si="25"/>
        <v>14.9</v>
      </c>
      <c r="G285" s="153">
        <v>23.5</v>
      </c>
      <c r="H285" s="153">
        <v>14.9</v>
      </c>
      <c r="I285" s="153"/>
      <c r="J285" s="153"/>
      <c r="K285" s="153"/>
      <c r="L285" s="143"/>
      <c r="M285" s="1"/>
      <c r="N285" s="1"/>
    </row>
    <row r="286" spans="1:14" ht="31.5" customHeight="1">
      <c r="A286" s="73" t="s">
        <v>502</v>
      </c>
      <c r="B286" s="9"/>
      <c r="C286" s="210" t="s">
        <v>325</v>
      </c>
      <c r="D286" s="162" t="s">
        <v>254</v>
      </c>
      <c r="E286" s="153">
        <f t="shared" si="25"/>
        <v>40</v>
      </c>
      <c r="F286" s="153">
        <f t="shared" si="25"/>
        <v>32.3</v>
      </c>
      <c r="G286" s="153">
        <v>40</v>
      </c>
      <c r="H286" s="153">
        <v>32.3</v>
      </c>
      <c r="I286" s="153"/>
      <c r="J286" s="153"/>
      <c r="K286" s="153"/>
      <c r="L286" s="143"/>
      <c r="M286" s="1"/>
      <c r="N286" s="1"/>
    </row>
    <row r="287" spans="1:14" ht="25.5">
      <c r="A287" s="73" t="s">
        <v>503</v>
      </c>
      <c r="B287" s="9"/>
      <c r="C287" s="210" t="s">
        <v>239</v>
      </c>
      <c r="D287" s="162" t="s">
        <v>206</v>
      </c>
      <c r="E287" s="153">
        <f t="shared" si="25"/>
        <v>8.600000000000001</v>
      </c>
      <c r="F287" s="153">
        <f t="shared" si="25"/>
        <v>8.6</v>
      </c>
      <c r="G287" s="153"/>
      <c r="H287" s="153"/>
      <c r="I287" s="153"/>
      <c r="J287" s="153"/>
      <c r="K287" s="153">
        <f>30-21.4</f>
        <v>8.600000000000001</v>
      </c>
      <c r="L287" s="143">
        <v>8.6</v>
      </c>
      <c r="M287" s="1"/>
      <c r="N287" s="1"/>
    </row>
    <row r="288" spans="1:14" ht="15" customHeight="1">
      <c r="A288" s="73" t="s">
        <v>504</v>
      </c>
      <c r="B288" s="9"/>
      <c r="C288" s="210" t="s">
        <v>240</v>
      </c>
      <c r="D288" s="162" t="s">
        <v>207</v>
      </c>
      <c r="E288" s="153">
        <f t="shared" si="25"/>
        <v>2.4</v>
      </c>
      <c r="F288" s="153">
        <f t="shared" si="25"/>
        <v>2.3</v>
      </c>
      <c r="G288" s="153"/>
      <c r="H288" s="153"/>
      <c r="I288" s="153"/>
      <c r="J288" s="153"/>
      <c r="K288" s="153">
        <v>2.4</v>
      </c>
      <c r="L288" s="143">
        <v>2.3</v>
      </c>
      <c r="M288" s="1"/>
      <c r="N288" s="1"/>
    </row>
    <row r="289" spans="1:14" ht="27" customHeight="1">
      <c r="A289" s="73" t="s">
        <v>505</v>
      </c>
      <c r="B289" s="9"/>
      <c r="C289" s="210" t="s">
        <v>326</v>
      </c>
      <c r="D289" s="162" t="s">
        <v>362</v>
      </c>
      <c r="E289" s="153">
        <f t="shared" si="25"/>
        <v>97</v>
      </c>
      <c r="F289" s="153">
        <f t="shared" si="25"/>
        <v>92.9</v>
      </c>
      <c r="G289" s="153"/>
      <c r="H289" s="153"/>
      <c r="I289" s="153"/>
      <c r="J289" s="153"/>
      <c r="K289" s="153">
        <v>97</v>
      </c>
      <c r="L289" s="143">
        <v>92.9</v>
      </c>
      <c r="M289" s="1"/>
      <c r="N289" s="1"/>
    </row>
    <row r="290" spans="1:14" ht="52.5" customHeight="1">
      <c r="A290" s="73" t="s">
        <v>506</v>
      </c>
      <c r="B290" s="9"/>
      <c r="C290" s="210" t="s">
        <v>327</v>
      </c>
      <c r="D290" s="162" t="s">
        <v>362</v>
      </c>
      <c r="E290" s="153">
        <f t="shared" si="25"/>
        <v>353</v>
      </c>
      <c r="F290" s="153">
        <f t="shared" si="25"/>
        <v>68.3</v>
      </c>
      <c r="G290" s="153"/>
      <c r="H290" s="153"/>
      <c r="I290" s="153"/>
      <c r="J290" s="153"/>
      <c r="K290" s="153">
        <f>353</f>
        <v>353</v>
      </c>
      <c r="L290" s="143">
        <v>68.3</v>
      </c>
      <c r="M290" s="1"/>
      <c r="N290" s="1"/>
    </row>
    <row r="291" spans="1:14" ht="15" customHeight="1">
      <c r="A291" s="73" t="s">
        <v>507</v>
      </c>
      <c r="B291" s="9"/>
      <c r="C291" s="64" t="s">
        <v>328</v>
      </c>
      <c r="D291" s="162" t="s">
        <v>206</v>
      </c>
      <c r="E291" s="153">
        <f t="shared" si="25"/>
        <v>110</v>
      </c>
      <c r="F291" s="153">
        <f t="shared" si="25"/>
        <v>90.7</v>
      </c>
      <c r="G291" s="153"/>
      <c r="H291" s="153"/>
      <c r="I291" s="153"/>
      <c r="J291" s="153"/>
      <c r="K291" s="153">
        <v>110</v>
      </c>
      <c r="L291" s="143">
        <v>90.7</v>
      </c>
      <c r="M291" s="1"/>
      <c r="N291" s="1"/>
    </row>
    <row r="292" spans="1:14" ht="24">
      <c r="A292" s="73" t="s">
        <v>508</v>
      </c>
      <c r="B292" s="9"/>
      <c r="C292" s="64" t="s">
        <v>329</v>
      </c>
      <c r="D292" s="162" t="s">
        <v>362</v>
      </c>
      <c r="E292" s="153">
        <f t="shared" si="25"/>
        <v>35</v>
      </c>
      <c r="F292" s="153">
        <f t="shared" si="25"/>
        <v>32.6</v>
      </c>
      <c r="G292" s="153"/>
      <c r="H292" s="153"/>
      <c r="I292" s="153"/>
      <c r="J292" s="153"/>
      <c r="K292" s="153">
        <v>35</v>
      </c>
      <c r="L292" s="143">
        <v>32.6</v>
      </c>
      <c r="M292" s="1"/>
      <c r="N292" s="1"/>
    </row>
    <row r="293" spans="1:14" ht="15" customHeight="1">
      <c r="A293" s="73" t="s">
        <v>509</v>
      </c>
      <c r="B293" s="9"/>
      <c r="C293" s="64" t="s">
        <v>405</v>
      </c>
      <c r="D293" s="162" t="s">
        <v>206</v>
      </c>
      <c r="E293" s="153">
        <f t="shared" si="25"/>
        <v>17.4</v>
      </c>
      <c r="F293" s="201">
        <f t="shared" si="25"/>
        <v>0</v>
      </c>
      <c r="G293" s="153"/>
      <c r="H293" s="153"/>
      <c r="I293" s="153"/>
      <c r="J293" s="153"/>
      <c r="K293" s="153">
        <f>80-62.6</f>
        <v>17.4</v>
      </c>
      <c r="L293" s="143">
        <v>0</v>
      </c>
      <c r="M293" s="1"/>
      <c r="N293" s="1"/>
    </row>
    <row r="294" spans="1:14" ht="27" customHeight="1">
      <c r="A294" s="73" t="s">
        <v>510</v>
      </c>
      <c r="B294" s="9"/>
      <c r="C294" s="64" t="s">
        <v>330</v>
      </c>
      <c r="D294" s="162" t="s">
        <v>362</v>
      </c>
      <c r="E294" s="153">
        <f t="shared" si="25"/>
        <v>40</v>
      </c>
      <c r="F294" s="153">
        <f t="shared" si="25"/>
        <v>33.4</v>
      </c>
      <c r="G294" s="153"/>
      <c r="H294" s="153"/>
      <c r="I294" s="153"/>
      <c r="J294" s="153"/>
      <c r="K294" s="153">
        <v>40</v>
      </c>
      <c r="L294" s="143">
        <v>33.4</v>
      </c>
      <c r="M294" s="1"/>
      <c r="N294" s="1"/>
    </row>
    <row r="295" spans="1:14" ht="146.25" customHeight="1">
      <c r="A295" s="73" t="s">
        <v>511</v>
      </c>
      <c r="B295" s="9"/>
      <c r="C295" s="167" t="s">
        <v>241</v>
      </c>
      <c r="D295" s="162" t="s">
        <v>640</v>
      </c>
      <c r="E295" s="153">
        <f t="shared" si="25"/>
        <v>60</v>
      </c>
      <c r="F295" s="153">
        <f t="shared" si="25"/>
        <v>50.1</v>
      </c>
      <c r="G295" s="153">
        <f>30+30</f>
        <v>60</v>
      </c>
      <c r="H295" s="153">
        <v>50.1</v>
      </c>
      <c r="I295" s="153"/>
      <c r="J295" s="153"/>
      <c r="K295" s="153"/>
      <c r="L295" s="143"/>
      <c r="M295" s="1"/>
      <c r="N295" s="1"/>
    </row>
    <row r="296" spans="1:14" ht="123" customHeight="1">
      <c r="A296" s="73" t="s">
        <v>512</v>
      </c>
      <c r="B296" s="9"/>
      <c r="C296" s="167" t="s">
        <v>242</v>
      </c>
      <c r="D296" s="211" t="s">
        <v>641</v>
      </c>
      <c r="E296" s="153">
        <f t="shared" si="25"/>
        <v>70</v>
      </c>
      <c r="F296" s="153">
        <f t="shared" si="25"/>
        <v>59</v>
      </c>
      <c r="G296" s="153">
        <f>40+30</f>
        <v>70</v>
      </c>
      <c r="H296" s="153">
        <v>59</v>
      </c>
      <c r="I296" s="153"/>
      <c r="J296" s="153"/>
      <c r="K296" s="153"/>
      <c r="L296" s="143"/>
      <c r="M296" s="1"/>
      <c r="N296" s="1"/>
    </row>
    <row r="297" spans="1:14" ht="15" customHeight="1">
      <c r="A297" s="73" t="s">
        <v>513</v>
      </c>
      <c r="B297" s="9"/>
      <c r="C297" s="167" t="s">
        <v>243</v>
      </c>
      <c r="D297" s="162" t="s">
        <v>137</v>
      </c>
      <c r="E297" s="153">
        <f t="shared" si="25"/>
        <v>17.6</v>
      </c>
      <c r="F297" s="153">
        <f t="shared" si="25"/>
        <v>17.5</v>
      </c>
      <c r="G297" s="153"/>
      <c r="H297" s="153"/>
      <c r="I297" s="153"/>
      <c r="J297" s="153"/>
      <c r="K297" s="153">
        <f>20-2.4</f>
        <v>17.6</v>
      </c>
      <c r="L297" s="143">
        <v>17.5</v>
      </c>
      <c r="M297" s="1"/>
      <c r="N297" s="1"/>
    </row>
    <row r="298" spans="1:14" ht="63.75">
      <c r="A298" s="73" t="s">
        <v>514</v>
      </c>
      <c r="B298" s="9"/>
      <c r="C298" s="167" t="s">
        <v>593</v>
      </c>
      <c r="D298" s="162" t="s">
        <v>137</v>
      </c>
      <c r="E298" s="153">
        <f t="shared" si="25"/>
        <v>60</v>
      </c>
      <c r="F298" s="153">
        <f t="shared" si="25"/>
        <v>55.8</v>
      </c>
      <c r="G298" s="153"/>
      <c r="H298" s="153"/>
      <c r="I298" s="153"/>
      <c r="J298" s="153"/>
      <c r="K298" s="153">
        <f>39+16.5+4.5</f>
        <v>60</v>
      </c>
      <c r="L298" s="143">
        <v>55.8</v>
      </c>
      <c r="M298" s="1"/>
      <c r="N298" s="1"/>
    </row>
    <row r="299" spans="1:14" ht="15" customHeight="1">
      <c r="A299" s="73" t="s">
        <v>515</v>
      </c>
      <c r="B299" s="9"/>
      <c r="C299" s="39" t="s">
        <v>331</v>
      </c>
      <c r="D299" s="162" t="s">
        <v>137</v>
      </c>
      <c r="E299" s="153">
        <f t="shared" si="25"/>
        <v>6.8</v>
      </c>
      <c r="F299" s="153">
        <f t="shared" si="25"/>
        <v>6.7</v>
      </c>
      <c r="G299" s="153"/>
      <c r="H299" s="153"/>
      <c r="I299" s="153"/>
      <c r="J299" s="153"/>
      <c r="K299" s="153">
        <f>7-0.2</f>
        <v>6.8</v>
      </c>
      <c r="L299" s="143">
        <v>6.7</v>
      </c>
      <c r="M299" s="1"/>
      <c r="N299" s="1"/>
    </row>
    <row r="300" spans="1:14" ht="15" customHeight="1">
      <c r="A300" s="73" t="s">
        <v>516</v>
      </c>
      <c r="B300" s="9"/>
      <c r="C300" s="167" t="s">
        <v>332</v>
      </c>
      <c r="D300" s="162" t="s">
        <v>137</v>
      </c>
      <c r="E300" s="153">
        <f t="shared" si="25"/>
        <v>10.1</v>
      </c>
      <c r="F300" s="201">
        <f t="shared" si="25"/>
        <v>0</v>
      </c>
      <c r="G300" s="153"/>
      <c r="H300" s="153"/>
      <c r="I300" s="153"/>
      <c r="J300" s="153"/>
      <c r="K300" s="153">
        <f>11-0.9</f>
        <v>10.1</v>
      </c>
      <c r="L300" s="143">
        <v>0</v>
      </c>
      <c r="M300" s="1"/>
      <c r="N300" s="1"/>
    </row>
    <row r="301" spans="1:14" ht="15" customHeight="1">
      <c r="A301" s="73" t="s">
        <v>517</v>
      </c>
      <c r="B301" s="9"/>
      <c r="C301" s="167" t="s">
        <v>333</v>
      </c>
      <c r="D301" s="162" t="s">
        <v>137</v>
      </c>
      <c r="E301" s="153">
        <f t="shared" si="25"/>
        <v>4.5</v>
      </c>
      <c r="F301" s="153">
        <f t="shared" si="25"/>
        <v>4.5</v>
      </c>
      <c r="G301" s="153"/>
      <c r="H301" s="153"/>
      <c r="I301" s="153"/>
      <c r="J301" s="153"/>
      <c r="K301" s="153">
        <v>4.5</v>
      </c>
      <c r="L301" s="143">
        <v>4.5</v>
      </c>
      <c r="M301" s="1"/>
      <c r="N301" s="1"/>
    </row>
    <row r="302" spans="1:14" ht="26.25" customHeight="1">
      <c r="A302" s="73" t="s">
        <v>518</v>
      </c>
      <c r="B302" s="9"/>
      <c r="C302" s="39" t="s">
        <v>334</v>
      </c>
      <c r="D302" s="162" t="s">
        <v>137</v>
      </c>
      <c r="E302" s="153">
        <f t="shared" si="25"/>
        <v>10</v>
      </c>
      <c r="F302" s="153">
        <f t="shared" si="25"/>
        <v>10</v>
      </c>
      <c r="G302" s="153"/>
      <c r="H302" s="153"/>
      <c r="I302" s="153"/>
      <c r="J302" s="153"/>
      <c r="K302" s="153">
        <v>10</v>
      </c>
      <c r="L302" s="143">
        <v>10</v>
      </c>
      <c r="M302" s="1"/>
      <c r="N302" s="1"/>
    </row>
    <row r="303" spans="1:14" ht="25.5">
      <c r="A303" s="73" t="s">
        <v>519</v>
      </c>
      <c r="B303" s="9"/>
      <c r="C303" s="39" t="s">
        <v>265</v>
      </c>
      <c r="D303" s="162" t="s">
        <v>137</v>
      </c>
      <c r="E303" s="153">
        <f t="shared" si="25"/>
        <v>34</v>
      </c>
      <c r="F303" s="153">
        <f t="shared" si="25"/>
        <v>33.8</v>
      </c>
      <c r="G303" s="153"/>
      <c r="H303" s="153"/>
      <c r="I303" s="153"/>
      <c r="J303" s="153"/>
      <c r="K303" s="153">
        <f>17+17</f>
        <v>34</v>
      </c>
      <c r="L303" s="143">
        <v>33.8</v>
      </c>
      <c r="M303" s="1"/>
      <c r="N303" s="1"/>
    </row>
    <row r="304" spans="1:14" ht="25.5">
      <c r="A304" s="73" t="s">
        <v>520</v>
      </c>
      <c r="B304" s="9"/>
      <c r="C304" s="39" t="s">
        <v>335</v>
      </c>
      <c r="D304" s="162" t="s">
        <v>137</v>
      </c>
      <c r="E304" s="153">
        <f t="shared" si="25"/>
        <v>27.5</v>
      </c>
      <c r="F304" s="153">
        <f t="shared" si="25"/>
        <v>27.5</v>
      </c>
      <c r="G304" s="153"/>
      <c r="H304" s="153"/>
      <c r="I304" s="153"/>
      <c r="J304" s="153"/>
      <c r="K304" s="153">
        <f>28.5-1</f>
        <v>27.5</v>
      </c>
      <c r="L304" s="143">
        <v>27.5</v>
      </c>
      <c r="M304" s="1"/>
      <c r="N304" s="1"/>
    </row>
    <row r="305" spans="1:14" ht="25.5">
      <c r="A305" s="73" t="s">
        <v>521</v>
      </c>
      <c r="B305" s="9"/>
      <c r="C305" s="39" t="s">
        <v>336</v>
      </c>
      <c r="D305" s="162" t="s">
        <v>363</v>
      </c>
      <c r="E305" s="153">
        <f t="shared" si="25"/>
        <v>40.4</v>
      </c>
      <c r="F305" s="153">
        <f t="shared" si="25"/>
        <v>27.9</v>
      </c>
      <c r="G305" s="153">
        <f>0.5+0.4</f>
        <v>0.9</v>
      </c>
      <c r="H305" s="201">
        <v>0</v>
      </c>
      <c r="I305" s="153"/>
      <c r="J305" s="153"/>
      <c r="K305" s="153">
        <f>45-15.5+10</f>
        <v>39.5</v>
      </c>
      <c r="L305" s="143">
        <v>27.9</v>
      </c>
      <c r="M305" s="1"/>
      <c r="N305" s="1"/>
    </row>
    <row r="306" spans="1:14" ht="15" customHeight="1">
      <c r="A306" s="73" t="s">
        <v>522</v>
      </c>
      <c r="B306" s="9"/>
      <c r="C306" s="39" t="s">
        <v>337</v>
      </c>
      <c r="D306" s="162" t="s">
        <v>207</v>
      </c>
      <c r="E306" s="153">
        <f t="shared" si="25"/>
        <v>17</v>
      </c>
      <c r="F306" s="153">
        <f t="shared" si="25"/>
        <v>16.7</v>
      </c>
      <c r="G306" s="153"/>
      <c r="H306" s="153"/>
      <c r="I306" s="153"/>
      <c r="J306" s="153"/>
      <c r="K306" s="153">
        <f>35-18</f>
        <v>17</v>
      </c>
      <c r="L306" s="143">
        <v>16.7</v>
      </c>
      <c r="M306" s="1"/>
      <c r="N306" s="1"/>
    </row>
    <row r="307" spans="1:14" ht="25.5">
      <c r="A307" s="73" t="s">
        <v>523</v>
      </c>
      <c r="B307" s="9"/>
      <c r="C307" s="39" t="s">
        <v>338</v>
      </c>
      <c r="D307" s="162" t="s">
        <v>207</v>
      </c>
      <c r="E307" s="153">
        <f t="shared" si="25"/>
        <v>295</v>
      </c>
      <c r="F307" s="153">
        <f t="shared" si="25"/>
        <v>294.6</v>
      </c>
      <c r="G307" s="153"/>
      <c r="H307" s="153"/>
      <c r="I307" s="153"/>
      <c r="J307" s="153"/>
      <c r="K307" s="153">
        <f>220+75</f>
        <v>295</v>
      </c>
      <c r="L307" s="143">
        <v>294.6</v>
      </c>
      <c r="M307" s="1"/>
      <c r="N307" s="1"/>
    </row>
    <row r="308" spans="1:14" ht="12.75">
      <c r="A308" s="73" t="s">
        <v>524</v>
      </c>
      <c r="B308" s="9"/>
      <c r="C308" s="39" t="s">
        <v>617</v>
      </c>
      <c r="D308" s="162" t="s">
        <v>207</v>
      </c>
      <c r="E308" s="153">
        <f t="shared" si="25"/>
        <v>10</v>
      </c>
      <c r="F308" s="153">
        <f t="shared" si="25"/>
        <v>10</v>
      </c>
      <c r="G308" s="153">
        <v>10</v>
      </c>
      <c r="H308" s="153">
        <v>10</v>
      </c>
      <c r="I308" s="153"/>
      <c r="J308" s="153"/>
      <c r="K308" s="153"/>
      <c r="L308" s="143"/>
      <c r="M308" s="1"/>
      <c r="N308" s="1"/>
    </row>
    <row r="309" spans="1:14" ht="74.25" customHeight="1">
      <c r="A309" s="73" t="s">
        <v>525</v>
      </c>
      <c r="B309" s="9"/>
      <c r="C309" s="167" t="s">
        <v>244</v>
      </c>
      <c r="D309" s="162" t="s">
        <v>639</v>
      </c>
      <c r="E309" s="153">
        <f t="shared" si="25"/>
        <v>34</v>
      </c>
      <c r="F309" s="153">
        <f t="shared" si="25"/>
        <v>34</v>
      </c>
      <c r="G309" s="153">
        <v>34</v>
      </c>
      <c r="H309" s="153">
        <v>34</v>
      </c>
      <c r="I309" s="153"/>
      <c r="J309" s="153"/>
      <c r="K309" s="153"/>
      <c r="L309" s="143"/>
      <c r="M309" s="1"/>
      <c r="N309" s="1"/>
    </row>
    <row r="310" spans="1:14" ht="25.5">
      <c r="A310" s="73" t="s">
        <v>526</v>
      </c>
      <c r="B310" s="9"/>
      <c r="C310" s="39" t="s">
        <v>339</v>
      </c>
      <c r="D310" s="162" t="s">
        <v>207</v>
      </c>
      <c r="E310" s="153">
        <f t="shared" si="25"/>
        <v>42</v>
      </c>
      <c r="F310" s="153">
        <f t="shared" si="25"/>
        <v>41.8</v>
      </c>
      <c r="G310" s="153"/>
      <c r="H310" s="153"/>
      <c r="I310" s="153"/>
      <c r="J310" s="153"/>
      <c r="K310" s="153">
        <f>15+13+14</f>
        <v>42</v>
      </c>
      <c r="L310" s="143">
        <v>41.8</v>
      </c>
      <c r="M310" s="1"/>
      <c r="N310" s="1"/>
    </row>
    <row r="311" spans="1:14" ht="15" customHeight="1">
      <c r="A311" s="73" t="s">
        <v>527</v>
      </c>
      <c r="B311" s="9"/>
      <c r="C311" s="196" t="s">
        <v>274</v>
      </c>
      <c r="D311" s="162" t="s">
        <v>207</v>
      </c>
      <c r="E311" s="153">
        <f>+G311+K311</f>
        <v>20</v>
      </c>
      <c r="F311" s="201">
        <f>+H311+L311</f>
        <v>0</v>
      </c>
      <c r="G311" s="153"/>
      <c r="H311" s="153"/>
      <c r="I311" s="153"/>
      <c r="J311" s="153"/>
      <c r="K311" s="153">
        <f>60-40</f>
        <v>20</v>
      </c>
      <c r="L311" s="143">
        <v>0</v>
      </c>
      <c r="M311" s="1"/>
      <c r="N311" s="1"/>
    </row>
    <row r="312" spans="1:14" ht="15" customHeight="1">
      <c r="A312" s="73" t="s">
        <v>528</v>
      </c>
      <c r="B312" s="9"/>
      <c r="C312" s="196" t="s">
        <v>340</v>
      </c>
      <c r="D312" s="162" t="s">
        <v>207</v>
      </c>
      <c r="E312" s="153">
        <f>+G312+K312</f>
        <v>6</v>
      </c>
      <c r="F312" s="153">
        <f>+H312+L312</f>
        <v>5.4</v>
      </c>
      <c r="G312" s="153">
        <v>6</v>
      </c>
      <c r="H312" s="153">
        <v>5.4</v>
      </c>
      <c r="I312" s="153"/>
      <c r="J312" s="153"/>
      <c r="K312" s="153"/>
      <c r="L312" s="143"/>
      <c r="M312" s="1"/>
      <c r="N312" s="1"/>
    </row>
    <row r="313" spans="1:14" ht="15" customHeight="1">
      <c r="A313" s="73" t="s">
        <v>529</v>
      </c>
      <c r="B313" s="9"/>
      <c r="C313" s="167" t="s">
        <v>341</v>
      </c>
      <c r="D313" s="162" t="s">
        <v>190</v>
      </c>
      <c r="E313" s="153">
        <f t="shared" si="25"/>
        <v>26</v>
      </c>
      <c r="F313" s="153">
        <f t="shared" si="25"/>
        <v>24.2</v>
      </c>
      <c r="G313" s="153">
        <v>26</v>
      </c>
      <c r="H313" s="153">
        <v>24.2</v>
      </c>
      <c r="I313" s="153"/>
      <c r="J313" s="153"/>
      <c r="K313" s="153"/>
      <c r="L313" s="143"/>
      <c r="M313" s="1"/>
      <c r="N313" s="1"/>
    </row>
    <row r="314" spans="1:14" ht="15" customHeight="1">
      <c r="A314" s="73" t="s">
        <v>530</v>
      </c>
      <c r="B314" s="9"/>
      <c r="C314" s="39" t="s">
        <v>342</v>
      </c>
      <c r="D314" s="162" t="s">
        <v>190</v>
      </c>
      <c r="E314" s="153">
        <f t="shared" si="25"/>
        <v>5</v>
      </c>
      <c r="F314" s="153">
        <f t="shared" si="25"/>
        <v>5</v>
      </c>
      <c r="G314" s="153">
        <v>5</v>
      </c>
      <c r="H314" s="153">
        <v>5</v>
      </c>
      <c r="I314" s="153"/>
      <c r="J314" s="153"/>
      <c r="K314" s="153"/>
      <c r="L314" s="143"/>
      <c r="M314" s="1"/>
      <c r="N314" s="1"/>
    </row>
    <row r="315" spans="1:14" ht="103.5" customHeight="1">
      <c r="A315" s="73" t="s">
        <v>531</v>
      </c>
      <c r="B315" s="9"/>
      <c r="C315" s="39" t="s">
        <v>245</v>
      </c>
      <c r="D315" s="162" t="s">
        <v>636</v>
      </c>
      <c r="E315" s="153">
        <f t="shared" si="25"/>
        <v>30</v>
      </c>
      <c r="F315" s="153">
        <f t="shared" si="25"/>
        <v>16.8</v>
      </c>
      <c r="G315" s="153">
        <v>30</v>
      </c>
      <c r="H315" s="153">
        <v>16.8</v>
      </c>
      <c r="I315" s="153"/>
      <c r="J315" s="153"/>
      <c r="K315" s="153"/>
      <c r="L315" s="143"/>
      <c r="M315" s="1"/>
      <c r="N315" s="1"/>
    </row>
    <row r="316" spans="1:14" ht="16.5" customHeight="1">
      <c r="A316" s="73" t="s">
        <v>532</v>
      </c>
      <c r="B316" s="9"/>
      <c r="C316" s="39" t="s">
        <v>343</v>
      </c>
      <c r="D316" s="162" t="s">
        <v>207</v>
      </c>
      <c r="E316" s="153">
        <f t="shared" si="25"/>
        <v>70</v>
      </c>
      <c r="F316" s="153">
        <f t="shared" si="25"/>
        <v>70</v>
      </c>
      <c r="G316" s="153">
        <v>70</v>
      </c>
      <c r="H316" s="153">
        <v>70</v>
      </c>
      <c r="I316" s="153"/>
      <c r="J316" s="153"/>
      <c r="K316" s="153"/>
      <c r="L316" s="143"/>
      <c r="M316" s="1"/>
      <c r="N316" s="1"/>
    </row>
    <row r="317" spans="1:14" ht="36" customHeight="1">
      <c r="A317" s="73" t="s">
        <v>533</v>
      </c>
      <c r="B317" s="9"/>
      <c r="C317" s="39" t="s">
        <v>344</v>
      </c>
      <c r="D317" s="162" t="s">
        <v>139</v>
      </c>
      <c r="E317" s="153">
        <f t="shared" si="25"/>
        <v>5</v>
      </c>
      <c r="F317" s="201">
        <f t="shared" si="25"/>
        <v>0</v>
      </c>
      <c r="G317" s="153">
        <v>2</v>
      </c>
      <c r="H317" s="201">
        <v>0</v>
      </c>
      <c r="I317" s="153"/>
      <c r="J317" s="153"/>
      <c r="K317" s="153">
        <v>3</v>
      </c>
      <c r="L317" s="143">
        <v>0</v>
      </c>
      <c r="M317" s="1"/>
      <c r="N317" s="1"/>
    </row>
    <row r="318" spans="1:14" ht="15" customHeight="1">
      <c r="A318" s="73" t="s">
        <v>534</v>
      </c>
      <c r="B318" s="9"/>
      <c r="C318" s="61" t="s">
        <v>345</v>
      </c>
      <c r="D318" s="162" t="s">
        <v>207</v>
      </c>
      <c r="E318" s="153">
        <f t="shared" si="25"/>
        <v>8</v>
      </c>
      <c r="F318" s="153">
        <f t="shared" si="25"/>
        <v>7.9</v>
      </c>
      <c r="G318" s="153">
        <v>8</v>
      </c>
      <c r="H318" s="153">
        <v>7.9</v>
      </c>
      <c r="I318" s="153"/>
      <c r="J318" s="153"/>
      <c r="K318" s="153">
        <f>17-17</f>
        <v>0</v>
      </c>
      <c r="L318" s="143"/>
      <c r="M318" s="1"/>
      <c r="N318" s="1"/>
    </row>
    <row r="319" spans="1:14" ht="15" customHeight="1">
      <c r="A319" s="73" t="s">
        <v>535</v>
      </c>
      <c r="B319" s="9"/>
      <c r="C319" s="166" t="s">
        <v>633</v>
      </c>
      <c r="D319" s="212" t="s">
        <v>261</v>
      </c>
      <c r="E319" s="153">
        <f>+G319+K319</f>
        <v>35</v>
      </c>
      <c r="F319" s="153">
        <f>+H319+L319</f>
        <v>35</v>
      </c>
      <c r="G319" s="153"/>
      <c r="H319" s="153"/>
      <c r="I319" s="153"/>
      <c r="J319" s="153"/>
      <c r="K319" s="153">
        <v>35</v>
      </c>
      <c r="L319" s="143">
        <v>35</v>
      </c>
      <c r="M319" s="1"/>
      <c r="N319" s="1"/>
    </row>
    <row r="320" spans="1:14" ht="15" customHeight="1">
      <c r="A320" s="73" t="s">
        <v>536</v>
      </c>
      <c r="B320" s="9"/>
      <c r="C320" s="67" t="s">
        <v>387</v>
      </c>
      <c r="D320" s="162" t="s">
        <v>139</v>
      </c>
      <c r="E320" s="153">
        <f aca="true" t="shared" si="26" ref="E320:F333">+G320+K320</f>
        <v>22.1</v>
      </c>
      <c r="F320" s="153">
        <f t="shared" si="26"/>
        <v>22.1</v>
      </c>
      <c r="G320" s="153">
        <f>29-6.9</f>
        <v>22.1</v>
      </c>
      <c r="H320" s="153">
        <v>22.1</v>
      </c>
      <c r="I320" s="153"/>
      <c r="J320" s="153"/>
      <c r="K320" s="153"/>
      <c r="L320" s="143"/>
      <c r="M320" s="1"/>
      <c r="N320" s="1"/>
    </row>
    <row r="321" spans="1:14" ht="15" customHeight="1">
      <c r="A321" s="73" t="s">
        <v>537</v>
      </c>
      <c r="B321" s="9"/>
      <c r="C321" s="67" t="s">
        <v>388</v>
      </c>
      <c r="D321" s="162" t="s">
        <v>139</v>
      </c>
      <c r="E321" s="153">
        <f t="shared" si="26"/>
        <v>20</v>
      </c>
      <c r="F321" s="201">
        <f t="shared" si="26"/>
        <v>0</v>
      </c>
      <c r="G321" s="153">
        <f>40-20</f>
        <v>20</v>
      </c>
      <c r="H321" s="201">
        <v>0</v>
      </c>
      <c r="I321" s="153"/>
      <c r="J321" s="153"/>
      <c r="K321" s="153"/>
      <c r="L321" s="143"/>
      <c r="M321" s="1"/>
      <c r="N321" s="1"/>
    </row>
    <row r="322" spans="1:14" ht="27.75" customHeight="1">
      <c r="A322" s="55">
        <v>82</v>
      </c>
      <c r="B322" s="7"/>
      <c r="C322" s="61" t="s">
        <v>8</v>
      </c>
      <c r="D322" s="162" t="s">
        <v>138</v>
      </c>
      <c r="E322" s="153">
        <f t="shared" si="26"/>
        <v>156.7</v>
      </c>
      <c r="F322" s="153">
        <f t="shared" si="26"/>
        <v>156.6</v>
      </c>
      <c r="G322" s="153">
        <f>165.1-8.4</f>
        <v>156.7</v>
      </c>
      <c r="H322" s="153">
        <v>156.6</v>
      </c>
      <c r="I322" s="153"/>
      <c r="J322" s="153"/>
      <c r="K322" s="153"/>
      <c r="L322" s="143"/>
      <c r="M322" s="1"/>
      <c r="N322" s="1"/>
    </row>
    <row r="323" spans="1:14" ht="15" customHeight="1">
      <c r="A323" s="55">
        <v>83</v>
      </c>
      <c r="B323" s="7"/>
      <c r="C323" s="61" t="s">
        <v>4</v>
      </c>
      <c r="D323" s="162" t="s">
        <v>137</v>
      </c>
      <c r="E323" s="153">
        <f t="shared" si="26"/>
        <v>20.1</v>
      </c>
      <c r="F323" s="153">
        <f t="shared" si="26"/>
        <v>20.1</v>
      </c>
      <c r="G323" s="153">
        <v>20.1</v>
      </c>
      <c r="H323" s="153">
        <v>20.1</v>
      </c>
      <c r="I323" s="153"/>
      <c r="J323" s="153"/>
      <c r="K323" s="153"/>
      <c r="L323" s="143"/>
      <c r="M323" s="1"/>
      <c r="N323" s="1"/>
    </row>
    <row r="324" spans="1:14" ht="15" customHeight="1">
      <c r="A324" s="55">
        <v>84</v>
      </c>
      <c r="B324" s="7"/>
      <c r="C324" s="61" t="s">
        <v>5</v>
      </c>
      <c r="D324" s="162" t="s">
        <v>137</v>
      </c>
      <c r="E324" s="153">
        <f t="shared" si="26"/>
        <v>7.3</v>
      </c>
      <c r="F324" s="153">
        <f t="shared" si="26"/>
        <v>7.3</v>
      </c>
      <c r="G324" s="153">
        <f>6.8+0.5</f>
        <v>7.3</v>
      </c>
      <c r="H324" s="153">
        <v>7.3</v>
      </c>
      <c r="I324" s="153"/>
      <c r="J324" s="153"/>
      <c r="K324" s="153"/>
      <c r="L324" s="143"/>
      <c r="M324" s="1"/>
      <c r="N324" s="1"/>
    </row>
    <row r="325" spans="1:14" ht="15" customHeight="1">
      <c r="A325" s="55">
        <v>85</v>
      </c>
      <c r="B325" s="7"/>
      <c r="C325" s="64" t="s">
        <v>7</v>
      </c>
      <c r="D325" s="162" t="s">
        <v>137</v>
      </c>
      <c r="E325" s="153">
        <f t="shared" si="26"/>
        <v>14.5</v>
      </c>
      <c r="F325" s="153">
        <f t="shared" si="26"/>
        <v>14.5</v>
      </c>
      <c r="G325" s="153">
        <v>14.5</v>
      </c>
      <c r="H325" s="153">
        <v>14.5</v>
      </c>
      <c r="I325" s="153"/>
      <c r="J325" s="153"/>
      <c r="K325" s="153"/>
      <c r="L325" s="143"/>
      <c r="M325" s="1"/>
      <c r="N325" s="1"/>
    </row>
    <row r="326" spans="1:14" ht="15" customHeight="1">
      <c r="A326" s="55">
        <v>86</v>
      </c>
      <c r="B326" s="7"/>
      <c r="C326" s="61" t="s">
        <v>6</v>
      </c>
      <c r="D326" s="162" t="s">
        <v>137</v>
      </c>
      <c r="E326" s="153">
        <f t="shared" si="26"/>
        <v>16.1</v>
      </c>
      <c r="F326" s="153">
        <f t="shared" si="26"/>
        <v>15.8</v>
      </c>
      <c r="G326" s="153">
        <v>16.1</v>
      </c>
      <c r="H326" s="153">
        <v>15.8</v>
      </c>
      <c r="I326" s="153"/>
      <c r="J326" s="153"/>
      <c r="K326" s="153"/>
      <c r="L326" s="143"/>
      <c r="M326" s="1"/>
      <c r="N326" s="1"/>
    </row>
    <row r="327" spans="1:14" ht="15" customHeight="1">
      <c r="A327" s="55">
        <v>87</v>
      </c>
      <c r="B327" s="7"/>
      <c r="C327" s="61" t="s">
        <v>9</v>
      </c>
      <c r="D327" s="162" t="s">
        <v>137</v>
      </c>
      <c r="E327" s="153">
        <f t="shared" si="26"/>
        <v>14.5</v>
      </c>
      <c r="F327" s="153">
        <f t="shared" si="26"/>
        <v>14.5</v>
      </c>
      <c r="G327" s="153">
        <v>14.5</v>
      </c>
      <c r="H327" s="153">
        <v>14.5</v>
      </c>
      <c r="I327" s="153"/>
      <c r="J327" s="153"/>
      <c r="K327" s="153"/>
      <c r="L327" s="143"/>
      <c r="M327" s="1"/>
      <c r="N327" s="1"/>
    </row>
    <row r="328" spans="1:14" ht="15" customHeight="1">
      <c r="A328" s="55">
        <v>88</v>
      </c>
      <c r="B328" s="7"/>
      <c r="C328" s="64" t="s">
        <v>10</v>
      </c>
      <c r="D328" s="162" t="s">
        <v>137</v>
      </c>
      <c r="E328" s="153">
        <f t="shared" si="26"/>
        <v>9.7</v>
      </c>
      <c r="F328" s="153">
        <f t="shared" si="26"/>
        <v>9.6</v>
      </c>
      <c r="G328" s="153">
        <v>9.7</v>
      </c>
      <c r="H328" s="153">
        <v>9.6</v>
      </c>
      <c r="I328" s="153"/>
      <c r="J328" s="153"/>
      <c r="K328" s="153"/>
      <c r="L328" s="143"/>
      <c r="M328" s="1"/>
      <c r="N328" s="1"/>
    </row>
    <row r="329" spans="1:14" ht="15" customHeight="1">
      <c r="A329" s="55">
        <v>89</v>
      </c>
      <c r="B329" s="7"/>
      <c r="C329" s="61" t="s">
        <v>12</v>
      </c>
      <c r="D329" s="162" t="s">
        <v>137</v>
      </c>
      <c r="E329" s="153">
        <f t="shared" si="26"/>
        <v>9.5</v>
      </c>
      <c r="F329" s="153">
        <f t="shared" si="26"/>
        <v>9.4</v>
      </c>
      <c r="G329" s="153">
        <v>9.5</v>
      </c>
      <c r="H329" s="153">
        <v>9.4</v>
      </c>
      <c r="I329" s="153"/>
      <c r="J329" s="153"/>
      <c r="K329" s="153"/>
      <c r="L329" s="143"/>
      <c r="M329" s="1"/>
      <c r="N329" s="1"/>
    </row>
    <row r="330" spans="1:14" ht="15" customHeight="1">
      <c r="A330" s="55">
        <v>90</v>
      </c>
      <c r="B330" s="7"/>
      <c r="C330" s="61" t="s">
        <v>208</v>
      </c>
      <c r="D330" s="162" t="s">
        <v>137</v>
      </c>
      <c r="E330" s="153">
        <f t="shared" si="26"/>
        <v>11.7</v>
      </c>
      <c r="F330" s="153">
        <f t="shared" si="26"/>
        <v>11.4</v>
      </c>
      <c r="G330" s="153">
        <v>11.7</v>
      </c>
      <c r="H330" s="153">
        <v>11.4</v>
      </c>
      <c r="I330" s="153"/>
      <c r="J330" s="153"/>
      <c r="K330" s="153"/>
      <c r="L330" s="143"/>
      <c r="M330" s="1"/>
      <c r="N330" s="1"/>
    </row>
    <row r="331" spans="1:14" ht="15" customHeight="1">
      <c r="A331" s="55">
        <v>91</v>
      </c>
      <c r="B331" s="7"/>
      <c r="C331" s="61" t="s">
        <v>13</v>
      </c>
      <c r="D331" s="162" t="s">
        <v>137</v>
      </c>
      <c r="E331" s="153">
        <f t="shared" si="26"/>
        <v>9.3</v>
      </c>
      <c r="F331" s="153">
        <f t="shared" si="26"/>
        <v>9.3</v>
      </c>
      <c r="G331" s="153">
        <v>9.3</v>
      </c>
      <c r="H331" s="153">
        <v>9.3</v>
      </c>
      <c r="I331" s="153"/>
      <c r="J331" s="153"/>
      <c r="K331" s="153"/>
      <c r="L331" s="143"/>
      <c r="M331" s="1"/>
      <c r="N331" s="1"/>
    </row>
    <row r="332" spans="1:14" ht="15" customHeight="1">
      <c r="A332" s="55">
        <v>92</v>
      </c>
      <c r="B332" s="9"/>
      <c r="C332" s="61" t="s">
        <v>14</v>
      </c>
      <c r="D332" s="162" t="s">
        <v>137</v>
      </c>
      <c r="E332" s="153">
        <f t="shared" si="26"/>
        <v>14.2</v>
      </c>
      <c r="F332" s="153">
        <f t="shared" si="26"/>
        <v>14.2</v>
      </c>
      <c r="G332" s="153">
        <v>14.2</v>
      </c>
      <c r="H332" s="153">
        <v>14.2</v>
      </c>
      <c r="I332" s="153"/>
      <c r="J332" s="153"/>
      <c r="K332" s="153"/>
      <c r="L332" s="143"/>
      <c r="M332" s="1"/>
      <c r="N332" s="1"/>
    </row>
    <row r="333" spans="1:14" ht="15" customHeight="1">
      <c r="A333" s="55">
        <v>93</v>
      </c>
      <c r="B333" s="7" t="s">
        <v>140</v>
      </c>
      <c r="C333" s="10" t="s">
        <v>141</v>
      </c>
      <c r="D333" s="205"/>
      <c r="E333" s="79">
        <f t="shared" si="26"/>
        <v>2537.9</v>
      </c>
      <c r="F333" s="79">
        <f t="shared" si="26"/>
        <v>2458.3</v>
      </c>
      <c r="G333" s="79">
        <f aca="true" t="shared" si="27" ref="G333:L333">+G344+G346+G350+G348+G342+G352+G353+G356+G355+G358+G360+G334</f>
        <v>2485.1</v>
      </c>
      <c r="H333" s="79">
        <f t="shared" si="27"/>
        <v>2414.5</v>
      </c>
      <c r="I333" s="79">
        <f t="shared" si="27"/>
        <v>374.3</v>
      </c>
      <c r="J333" s="79">
        <f t="shared" si="27"/>
        <v>373.4</v>
      </c>
      <c r="K333" s="79">
        <f t="shared" si="27"/>
        <v>52.8</v>
      </c>
      <c r="L333" s="79">
        <f t="shared" si="27"/>
        <v>43.8</v>
      </c>
      <c r="M333" s="1"/>
      <c r="N333" s="1"/>
    </row>
    <row r="334" spans="1:14" ht="15" customHeight="1">
      <c r="A334" s="55">
        <v>94</v>
      </c>
      <c r="B334" s="9"/>
      <c r="C334" s="64" t="s">
        <v>108</v>
      </c>
      <c r="D334" s="162"/>
      <c r="E334" s="153">
        <f>+G334+K334</f>
        <v>1074.9</v>
      </c>
      <c r="F334" s="153">
        <f>+H334+L334</f>
        <v>1002.6</v>
      </c>
      <c r="G334" s="153">
        <f>+G336+G337+G339+G340+G341</f>
        <v>1053.9</v>
      </c>
      <c r="H334" s="153">
        <f>+H336+H337+H339+H340+H341</f>
        <v>990.5</v>
      </c>
      <c r="I334" s="153">
        <f>+I336+I337+I339+I340+I341</f>
        <v>0</v>
      </c>
      <c r="J334" s="153"/>
      <c r="K334" s="153">
        <f>+K336+K337+K339+K340+K341</f>
        <v>21</v>
      </c>
      <c r="L334" s="153">
        <f>+L336+L337+L339+L340+L341</f>
        <v>12.1</v>
      </c>
      <c r="M334" s="1"/>
      <c r="N334" s="1"/>
    </row>
    <row r="335" spans="1:14" ht="15" customHeight="1">
      <c r="A335" s="55"/>
      <c r="B335" s="9"/>
      <c r="C335" s="38" t="s">
        <v>109</v>
      </c>
      <c r="D335" s="124"/>
      <c r="E335" s="153"/>
      <c r="F335" s="153"/>
      <c r="G335" s="153"/>
      <c r="H335" s="153"/>
      <c r="I335" s="153"/>
      <c r="J335" s="153"/>
      <c r="K335" s="153"/>
      <c r="L335" s="143"/>
      <c r="M335" s="1"/>
      <c r="N335" s="1"/>
    </row>
    <row r="336" spans="1:14" ht="15" customHeight="1">
      <c r="A336" s="73" t="s">
        <v>538</v>
      </c>
      <c r="B336" s="9"/>
      <c r="C336" s="38" t="s">
        <v>3</v>
      </c>
      <c r="D336" s="124" t="s">
        <v>364</v>
      </c>
      <c r="E336" s="153">
        <f aca="true" t="shared" si="28" ref="E336:F361">+G336+K336</f>
        <v>17.5</v>
      </c>
      <c r="F336" s="153">
        <f t="shared" si="28"/>
        <v>6.1</v>
      </c>
      <c r="G336" s="153">
        <v>17.5</v>
      </c>
      <c r="H336" s="153">
        <v>6.1</v>
      </c>
      <c r="I336" s="153"/>
      <c r="J336" s="153"/>
      <c r="K336" s="153"/>
      <c r="L336" s="143"/>
      <c r="M336" s="1"/>
      <c r="N336" s="1"/>
    </row>
    <row r="337" spans="1:14" ht="29.25" customHeight="1">
      <c r="A337" s="73" t="s">
        <v>539</v>
      </c>
      <c r="B337" s="9"/>
      <c r="C337" s="67" t="s">
        <v>309</v>
      </c>
      <c r="D337" s="124"/>
      <c r="E337" s="153">
        <f t="shared" si="28"/>
        <v>20</v>
      </c>
      <c r="F337" s="153">
        <f t="shared" si="28"/>
        <v>6.8</v>
      </c>
      <c r="G337" s="153">
        <f>SUM(G338:G338)</f>
        <v>20</v>
      </c>
      <c r="H337" s="153">
        <f>SUM(H338:H338)</f>
        <v>6.8</v>
      </c>
      <c r="I337" s="153">
        <f>SUM(I338:I338)</f>
        <v>0</v>
      </c>
      <c r="J337" s="153"/>
      <c r="K337" s="153">
        <f>SUM(K338:K338)</f>
        <v>0</v>
      </c>
      <c r="L337" s="143"/>
      <c r="M337" s="1"/>
      <c r="N337" s="1"/>
    </row>
    <row r="338" spans="1:14" ht="27" customHeight="1">
      <c r="A338" s="73" t="s">
        <v>540</v>
      </c>
      <c r="B338" s="9"/>
      <c r="C338" s="39" t="s">
        <v>346</v>
      </c>
      <c r="D338" s="124" t="s">
        <v>364</v>
      </c>
      <c r="E338" s="153">
        <f t="shared" si="28"/>
        <v>20</v>
      </c>
      <c r="F338" s="153">
        <f t="shared" si="28"/>
        <v>6.8</v>
      </c>
      <c r="G338" s="153">
        <v>20</v>
      </c>
      <c r="H338" s="153">
        <v>6.8</v>
      </c>
      <c r="I338" s="153"/>
      <c r="J338" s="153"/>
      <c r="K338" s="153"/>
      <c r="L338" s="143"/>
      <c r="M338" s="1"/>
      <c r="N338" s="1"/>
    </row>
    <row r="339" spans="1:14" ht="21.75" customHeight="1">
      <c r="A339" s="73" t="s">
        <v>541</v>
      </c>
      <c r="B339" s="9"/>
      <c r="C339" s="166" t="s">
        <v>633</v>
      </c>
      <c r="D339" s="212" t="s">
        <v>261</v>
      </c>
      <c r="E339" s="153">
        <f t="shared" si="28"/>
        <v>158</v>
      </c>
      <c r="F339" s="153">
        <f t="shared" si="28"/>
        <v>133.8</v>
      </c>
      <c r="G339" s="153">
        <f>154-11+4-2-8</f>
        <v>137</v>
      </c>
      <c r="H339" s="153">
        <v>121.7</v>
      </c>
      <c r="I339" s="153"/>
      <c r="J339" s="153"/>
      <c r="K339" s="153">
        <f>11+2+8</f>
        <v>21</v>
      </c>
      <c r="L339" s="143">
        <v>12.1</v>
      </c>
      <c r="M339" s="1"/>
      <c r="N339" s="1"/>
    </row>
    <row r="340" spans="1:14" ht="15" customHeight="1">
      <c r="A340" s="73" t="s">
        <v>542</v>
      </c>
      <c r="B340" s="9"/>
      <c r="C340" s="166" t="s">
        <v>389</v>
      </c>
      <c r="D340" s="212" t="s">
        <v>143</v>
      </c>
      <c r="E340" s="153">
        <f t="shared" si="28"/>
        <v>790</v>
      </c>
      <c r="F340" s="153">
        <f t="shared" si="28"/>
        <v>790</v>
      </c>
      <c r="G340" s="153">
        <f>730+60</f>
        <v>790</v>
      </c>
      <c r="H340" s="153">
        <v>790</v>
      </c>
      <c r="I340" s="153"/>
      <c r="J340" s="153"/>
      <c r="K340" s="153"/>
      <c r="L340" s="143"/>
      <c r="M340" s="1"/>
      <c r="N340" s="1"/>
    </row>
    <row r="341" spans="1:14" ht="15" customHeight="1">
      <c r="A341" s="73" t="s">
        <v>543</v>
      </c>
      <c r="B341" s="9"/>
      <c r="C341" s="166" t="s">
        <v>390</v>
      </c>
      <c r="D341" s="212" t="s">
        <v>143</v>
      </c>
      <c r="E341" s="153">
        <f t="shared" si="28"/>
        <v>89.4</v>
      </c>
      <c r="F341" s="153">
        <f t="shared" si="28"/>
        <v>65.9</v>
      </c>
      <c r="G341" s="153">
        <v>89.4</v>
      </c>
      <c r="H341" s="153">
        <v>65.9</v>
      </c>
      <c r="I341" s="153"/>
      <c r="J341" s="153"/>
      <c r="K341" s="153"/>
      <c r="L341" s="143"/>
      <c r="M341" s="1"/>
      <c r="N341" s="1"/>
    </row>
    <row r="342" spans="1:14" ht="17.25" customHeight="1">
      <c r="A342" s="232">
        <v>95</v>
      </c>
      <c r="B342" s="231"/>
      <c r="C342" s="12" t="s">
        <v>8</v>
      </c>
      <c r="D342" s="241" t="s">
        <v>144</v>
      </c>
      <c r="E342" s="153">
        <f t="shared" si="28"/>
        <v>808.5</v>
      </c>
      <c r="F342" s="153">
        <f t="shared" si="28"/>
        <v>808.4</v>
      </c>
      <c r="G342" s="153">
        <f>777.6+G343+3.5+11.4-6.8+3.8+8</f>
        <v>798.5</v>
      </c>
      <c r="H342" s="153">
        <v>798.5</v>
      </c>
      <c r="I342" s="153">
        <f>95.6+I343-5.2</f>
        <v>91.19999999999999</v>
      </c>
      <c r="J342" s="153">
        <v>91.2</v>
      </c>
      <c r="K342" s="153">
        <v>10</v>
      </c>
      <c r="L342" s="143">
        <v>9.9</v>
      </c>
      <c r="N342" s="1"/>
    </row>
    <row r="343" spans="1:14" ht="23.25" customHeight="1">
      <c r="A343" s="232"/>
      <c r="B343" s="231"/>
      <c r="C343" s="200" t="s">
        <v>420</v>
      </c>
      <c r="D343" s="241"/>
      <c r="E343" s="153">
        <f t="shared" si="28"/>
        <v>1</v>
      </c>
      <c r="F343" s="153">
        <f t="shared" si="28"/>
        <v>1</v>
      </c>
      <c r="G343" s="153">
        <v>1</v>
      </c>
      <c r="H343" s="153">
        <v>1</v>
      </c>
      <c r="I343" s="153">
        <v>0.8</v>
      </c>
      <c r="J343" s="153">
        <v>0.8</v>
      </c>
      <c r="K343" s="153"/>
      <c r="L343" s="143"/>
      <c r="N343" s="1"/>
    </row>
    <row r="344" spans="1:14" ht="15" customHeight="1">
      <c r="A344" s="232">
        <v>96</v>
      </c>
      <c r="B344" s="231"/>
      <c r="C344" s="61" t="s">
        <v>4</v>
      </c>
      <c r="D344" s="241" t="s">
        <v>142</v>
      </c>
      <c r="E344" s="153">
        <f t="shared" si="28"/>
        <v>93.2</v>
      </c>
      <c r="F344" s="153">
        <f t="shared" si="28"/>
        <v>93</v>
      </c>
      <c r="G344" s="153">
        <f>65.9+G345+1.1+3+5.5+3</f>
        <v>80.3</v>
      </c>
      <c r="H344" s="153">
        <v>80.1</v>
      </c>
      <c r="I344" s="153">
        <f>29.4+I345+1.9</f>
        <v>32.6</v>
      </c>
      <c r="J344" s="153">
        <v>32.6</v>
      </c>
      <c r="K344" s="153">
        <f>14-1.1</f>
        <v>12.9</v>
      </c>
      <c r="L344" s="143">
        <v>12.9</v>
      </c>
      <c r="M344" s="1"/>
      <c r="N344" s="1"/>
    </row>
    <row r="345" spans="1:14" ht="15" customHeight="1">
      <c r="A345" s="232"/>
      <c r="B345" s="231"/>
      <c r="C345" s="200" t="s">
        <v>420</v>
      </c>
      <c r="D345" s="241"/>
      <c r="E345" s="153">
        <f t="shared" si="28"/>
        <v>1.8</v>
      </c>
      <c r="F345" s="153">
        <f t="shared" si="28"/>
        <v>1.7</v>
      </c>
      <c r="G345" s="153">
        <v>1.8</v>
      </c>
      <c r="H345" s="153">
        <v>1.7</v>
      </c>
      <c r="I345" s="153">
        <f>1.4-0.1</f>
        <v>1.2999999999999998</v>
      </c>
      <c r="J345" s="153">
        <v>1.3</v>
      </c>
      <c r="K345" s="153"/>
      <c r="L345" s="143"/>
      <c r="M345" s="1"/>
      <c r="N345" s="1"/>
    </row>
    <row r="346" spans="1:14" ht="15" customHeight="1">
      <c r="A346" s="232">
        <v>97</v>
      </c>
      <c r="B346" s="231"/>
      <c r="C346" s="61" t="s">
        <v>5</v>
      </c>
      <c r="D346" s="241" t="s">
        <v>143</v>
      </c>
      <c r="E346" s="153">
        <f t="shared" si="28"/>
        <v>74.2</v>
      </c>
      <c r="F346" s="153">
        <f t="shared" si="28"/>
        <v>74.2</v>
      </c>
      <c r="G346" s="153">
        <f>70+G347+0.3+3</f>
        <v>74.2</v>
      </c>
      <c r="H346" s="153">
        <v>74.2</v>
      </c>
      <c r="I346" s="153">
        <f>41+I347+0.3+2.1</f>
        <v>44.1</v>
      </c>
      <c r="J346" s="153">
        <v>44.1</v>
      </c>
      <c r="K346" s="153"/>
      <c r="L346" s="143"/>
      <c r="M346" s="1"/>
      <c r="N346" s="1"/>
    </row>
    <row r="347" spans="1:14" ht="15" customHeight="1">
      <c r="A347" s="232"/>
      <c r="B347" s="231"/>
      <c r="C347" s="200" t="s">
        <v>420</v>
      </c>
      <c r="D347" s="241"/>
      <c r="E347" s="153">
        <f t="shared" si="28"/>
        <v>0.9</v>
      </c>
      <c r="F347" s="153">
        <f t="shared" si="28"/>
        <v>0.9</v>
      </c>
      <c r="G347" s="153">
        <v>0.9</v>
      </c>
      <c r="H347" s="153">
        <v>0.9</v>
      </c>
      <c r="I347" s="153">
        <v>0.7</v>
      </c>
      <c r="J347" s="153">
        <v>0.7</v>
      </c>
      <c r="K347" s="153"/>
      <c r="L347" s="143"/>
      <c r="M347" s="1"/>
      <c r="N347" s="1"/>
    </row>
    <row r="348" spans="1:14" ht="15" customHeight="1">
      <c r="A348" s="232">
        <v>98</v>
      </c>
      <c r="B348" s="231"/>
      <c r="C348" s="61" t="s">
        <v>7</v>
      </c>
      <c r="D348" s="241" t="s">
        <v>142</v>
      </c>
      <c r="E348" s="153">
        <f>+G348+K348</f>
        <v>63.7</v>
      </c>
      <c r="F348" s="153">
        <f>+H348+L348</f>
        <v>63.1</v>
      </c>
      <c r="G348" s="153">
        <f>61.6+G349-0.7+1.7</f>
        <v>63</v>
      </c>
      <c r="H348" s="153">
        <v>62.4</v>
      </c>
      <c r="I348" s="153">
        <f>27.4+I349-0.4</f>
        <v>27.3</v>
      </c>
      <c r="J348" s="153">
        <v>27.3</v>
      </c>
      <c r="K348" s="153">
        <v>0.7</v>
      </c>
      <c r="L348" s="143">
        <v>0.7</v>
      </c>
      <c r="M348" s="1"/>
      <c r="N348" s="1"/>
    </row>
    <row r="349" spans="1:14" ht="15" customHeight="1">
      <c r="A349" s="232"/>
      <c r="B349" s="231"/>
      <c r="C349" s="200" t="s">
        <v>420</v>
      </c>
      <c r="D349" s="241"/>
      <c r="E349" s="153">
        <f>+G349+K349</f>
        <v>0.4</v>
      </c>
      <c r="F349" s="153">
        <f>+H349+L349</f>
        <v>0.4</v>
      </c>
      <c r="G349" s="153">
        <v>0.4</v>
      </c>
      <c r="H349" s="153">
        <v>0.4</v>
      </c>
      <c r="I349" s="153">
        <v>0.3</v>
      </c>
      <c r="J349" s="153">
        <v>0.3</v>
      </c>
      <c r="K349" s="153"/>
      <c r="L349" s="143"/>
      <c r="M349" s="1"/>
      <c r="N349" s="1"/>
    </row>
    <row r="350" spans="1:14" ht="15" customHeight="1">
      <c r="A350" s="232">
        <v>99</v>
      </c>
      <c r="B350" s="231"/>
      <c r="C350" s="12" t="s">
        <v>6</v>
      </c>
      <c r="D350" s="241" t="s">
        <v>142</v>
      </c>
      <c r="E350" s="153">
        <f t="shared" si="28"/>
        <v>52.8</v>
      </c>
      <c r="F350" s="153">
        <f t="shared" si="28"/>
        <v>52.3</v>
      </c>
      <c r="G350" s="153">
        <f>45.6+G351+4.4</f>
        <v>51.3</v>
      </c>
      <c r="H350" s="153">
        <v>50.8</v>
      </c>
      <c r="I350" s="153">
        <f>20.7+I351+2.5</f>
        <v>24.2</v>
      </c>
      <c r="J350" s="153">
        <v>24.1</v>
      </c>
      <c r="K350" s="153">
        <v>1.5</v>
      </c>
      <c r="L350" s="143">
        <v>1.5</v>
      </c>
      <c r="M350" s="1"/>
      <c r="N350" s="1"/>
    </row>
    <row r="351" spans="1:14" ht="15" customHeight="1">
      <c r="A351" s="232"/>
      <c r="B351" s="231"/>
      <c r="C351" s="200" t="s">
        <v>420</v>
      </c>
      <c r="D351" s="241"/>
      <c r="E351" s="153">
        <f t="shared" si="28"/>
        <v>1.3</v>
      </c>
      <c r="F351" s="153">
        <f t="shared" si="28"/>
        <v>1.3</v>
      </c>
      <c r="G351" s="153">
        <v>1.3</v>
      </c>
      <c r="H351" s="153">
        <v>1.3</v>
      </c>
      <c r="I351" s="153">
        <v>1</v>
      </c>
      <c r="J351" s="153">
        <v>1</v>
      </c>
      <c r="K351" s="153"/>
      <c r="L351" s="143"/>
      <c r="M351" s="1"/>
      <c r="N351" s="1"/>
    </row>
    <row r="352" spans="1:14" ht="15" customHeight="1">
      <c r="A352" s="55">
        <v>100</v>
      </c>
      <c r="B352" s="9"/>
      <c r="C352" s="61" t="s">
        <v>9</v>
      </c>
      <c r="D352" s="207" t="s">
        <v>145</v>
      </c>
      <c r="E352" s="153">
        <f t="shared" si="28"/>
        <v>56.6</v>
      </c>
      <c r="F352" s="153">
        <f t="shared" si="28"/>
        <v>56.5</v>
      </c>
      <c r="G352" s="153">
        <f>51+0.9+4.7</f>
        <v>56.6</v>
      </c>
      <c r="H352" s="153">
        <v>56.5</v>
      </c>
      <c r="I352" s="153">
        <f>24.1+0.6+1.4</f>
        <v>26.1</v>
      </c>
      <c r="J352" s="153">
        <v>26</v>
      </c>
      <c r="K352" s="153"/>
      <c r="L352" s="143"/>
      <c r="M352" s="1"/>
      <c r="N352" s="1"/>
    </row>
    <row r="353" spans="1:14" ht="15" customHeight="1">
      <c r="A353" s="232">
        <v>101</v>
      </c>
      <c r="B353" s="231"/>
      <c r="C353" s="64" t="s">
        <v>10</v>
      </c>
      <c r="D353" s="241" t="s">
        <v>142</v>
      </c>
      <c r="E353" s="153">
        <f t="shared" si="28"/>
        <v>28.799999999999997</v>
      </c>
      <c r="F353" s="153">
        <f t="shared" si="28"/>
        <v>28.799999999999997</v>
      </c>
      <c r="G353" s="153">
        <f>27.4+G354-1.4+1.2</f>
        <v>27.4</v>
      </c>
      <c r="H353" s="153">
        <v>27.4</v>
      </c>
      <c r="I353" s="153">
        <f>10.8+I354+0.4+1</f>
        <v>12.3</v>
      </c>
      <c r="J353" s="153">
        <v>12.3</v>
      </c>
      <c r="K353" s="153">
        <v>1.4</v>
      </c>
      <c r="L353" s="143">
        <v>1.4</v>
      </c>
      <c r="M353" s="1"/>
      <c r="N353" s="1"/>
    </row>
    <row r="354" spans="1:14" ht="15" customHeight="1">
      <c r="A354" s="232"/>
      <c r="B354" s="231"/>
      <c r="C354" s="200" t="s">
        <v>420</v>
      </c>
      <c r="D354" s="241"/>
      <c r="E354" s="153">
        <f t="shared" si="28"/>
        <v>0.2</v>
      </c>
      <c r="F354" s="153">
        <f t="shared" si="28"/>
        <v>0.2</v>
      </c>
      <c r="G354" s="153">
        <v>0.2</v>
      </c>
      <c r="H354" s="153">
        <v>0.2</v>
      </c>
      <c r="I354" s="153">
        <v>0.1</v>
      </c>
      <c r="J354" s="153">
        <v>0.1</v>
      </c>
      <c r="K354" s="153"/>
      <c r="L354" s="143"/>
      <c r="M354" s="1"/>
      <c r="N354" s="1"/>
    </row>
    <row r="355" spans="1:14" ht="24">
      <c r="A355" s="55">
        <v>102</v>
      </c>
      <c r="B355" s="9"/>
      <c r="C355" s="61" t="s">
        <v>12</v>
      </c>
      <c r="D355" s="207" t="s">
        <v>142</v>
      </c>
      <c r="E355" s="153">
        <f>+G355+K355</f>
        <v>27.1</v>
      </c>
      <c r="F355" s="153">
        <f>+H355+L355</f>
        <v>27.1</v>
      </c>
      <c r="G355" s="153">
        <f>24.3+1.8+1</f>
        <v>27.1</v>
      </c>
      <c r="H355" s="153">
        <v>27.1</v>
      </c>
      <c r="I355" s="153">
        <f>9.7+1.4+0.7</f>
        <v>11.799999999999999</v>
      </c>
      <c r="J355" s="153">
        <v>11.8</v>
      </c>
      <c r="K355" s="153"/>
      <c r="L355" s="143"/>
      <c r="M355" s="1"/>
      <c r="N355" s="1"/>
    </row>
    <row r="356" spans="1:14" ht="24">
      <c r="A356" s="232">
        <v>103</v>
      </c>
      <c r="B356" s="231"/>
      <c r="C356" s="12" t="s">
        <v>208</v>
      </c>
      <c r="D356" s="207" t="s">
        <v>142</v>
      </c>
      <c r="E356" s="153">
        <f t="shared" si="28"/>
        <v>40.8</v>
      </c>
      <c r="F356" s="153">
        <f t="shared" si="28"/>
        <v>37.4</v>
      </c>
      <c r="G356" s="153">
        <f>36.8+G357+1.5+2.2</f>
        <v>40.8</v>
      </c>
      <c r="H356" s="153">
        <v>37.4</v>
      </c>
      <c r="I356" s="153">
        <f>16.3+I357+1.1+0.2</f>
        <v>17.8</v>
      </c>
      <c r="J356" s="153">
        <v>17.4</v>
      </c>
      <c r="K356" s="153"/>
      <c r="L356" s="143"/>
      <c r="M356" s="1"/>
      <c r="N356" s="1"/>
    </row>
    <row r="357" spans="1:14" ht="15" customHeight="1">
      <c r="A357" s="232"/>
      <c r="B357" s="231"/>
      <c r="C357" s="200" t="s">
        <v>420</v>
      </c>
      <c r="D357" s="207"/>
      <c r="E357" s="153">
        <f t="shared" si="28"/>
        <v>0.3</v>
      </c>
      <c r="F357" s="153">
        <f t="shared" si="28"/>
        <v>0.3</v>
      </c>
      <c r="G357" s="153">
        <v>0.3</v>
      </c>
      <c r="H357" s="153">
        <v>0.3</v>
      </c>
      <c r="I357" s="153">
        <v>0.2</v>
      </c>
      <c r="J357" s="153">
        <v>0.2</v>
      </c>
      <c r="K357" s="153"/>
      <c r="L357" s="143"/>
      <c r="M357" s="1"/>
      <c r="N357" s="1"/>
    </row>
    <row r="358" spans="1:14" ht="15" customHeight="1">
      <c r="A358" s="232">
        <v>104</v>
      </c>
      <c r="B358" s="231"/>
      <c r="C358" s="61" t="s">
        <v>13</v>
      </c>
      <c r="D358" s="241" t="s">
        <v>142</v>
      </c>
      <c r="E358" s="153">
        <f t="shared" si="28"/>
        <v>41.7</v>
      </c>
      <c r="F358" s="153">
        <f t="shared" si="28"/>
        <v>41.6</v>
      </c>
      <c r="G358" s="153">
        <f>39.7+G359+1.7</f>
        <v>41.7</v>
      </c>
      <c r="H358" s="153">
        <v>41.6</v>
      </c>
      <c r="I358" s="153">
        <f>16+I359+1.7</f>
        <v>18</v>
      </c>
      <c r="J358" s="153">
        <v>18</v>
      </c>
      <c r="K358" s="153"/>
      <c r="L358" s="143"/>
      <c r="M358" s="1"/>
      <c r="N358" s="1"/>
    </row>
    <row r="359" spans="1:14" ht="15" customHeight="1">
      <c r="A359" s="232"/>
      <c r="B359" s="231"/>
      <c r="C359" s="200" t="s">
        <v>420</v>
      </c>
      <c r="D359" s="241"/>
      <c r="E359" s="153">
        <f t="shared" si="28"/>
        <v>0.3</v>
      </c>
      <c r="F359" s="153">
        <f t="shared" si="28"/>
        <v>0.3</v>
      </c>
      <c r="G359" s="153">
        <v>0.3</v>
      </c>
      <c r="H359" s="153">
        <v>0.3</v>
      </c>
      <c r="I359" s="153">
        <v>0.3</v>
      </c>
      <c r="J359" s="153">
        <v>0.3</v>
      </c>
      <c r="K359" s="153"/>
      <c r="L359" s="143"/>
      <c r="M359" s="1"/>
      <c r="N359" s="1"/>
    </row>
    <row r="360" spans="1:14" ht="15" customHeight="1">
      <c r="A360" s="232">
        <v>105</v>
      </c>
      <c r="B360" s="231"/>
      <c r="C360" s="61" t="s">
        <v>14</v>
      </c>
      <c r="D360" s="241" t="s">
        <v>142</v>
      </c>
      <c r="E360" s="153">
        <f t="shared" si="28"/>
        <v>175.6</v>
      </c>
      <c r="F360" s="153">
        <f t="shared" si="28"/>
        <v>173.3</v>
      </c>
      <c r="G360" s="153">
        <f>156.9+G361+2.6+9.1</f>
        <v>170.29999999999998</v>
      </c>
      <c r="H360" s="153">
        <v>168</v>
      </c>
      <c r="I360" s="153">
        <f>66+I361+1.6</f>
        <v>68.89999999999999</v>
      </c>
      <c r="J360" s="153">
        <v>68.6</v>
      </c>
      <c r="K360" s="153">
        <v>5.3</v>
      </c>
      <c r="L360" s="143">
        <v>5.3</v>
      </c>
      <c r="M360" s="1"/>
      <c r="N360" s="1"/>
    </row>
    <row r="361" spans="1:14" ht="15" customHeight="1">
      <c r="A361" s="232"/>
      <c r="B361" s="231"/>
      <c r="C361" s="200" t="s">
        <v>420</v>
      </c>
      <c r="D361" s="241"/>
      <c r="E361" s="153">
        <f t="shared" si="28"/>
        <v>1.7</v>
      </c>
      <c r="F361" s="153">
        <f t="shared" si="28"/>
        <v>1.7</v>
      </c>
      <c r="G361" s="153">
        <v>1.7</v>
      </c>
      <c r="H361" s="153">
        <v>1.7</v>
      </c>
      <c r="I361" s="153">
        <v>1.3</v>
      </c>
      <c r="J361" s="153">
        <v>1.3</v>
      </c>
      <c r="K361" s="153"/>
      <c r="L361" s="143"/>
      <c r="M361" s="1"/>
      <c r="N361" s="1"/>
    </row>
    <row r="362" spans="1:14" ht="15" customHeight="1">
      <c r="A362" s="55">
        <v>106</v>
      </c>
      <c r="B362" s="7" t="s">
        <v>38</v>
      </c>
      <c r="C362" s="10" t="s">
        <v>39</v>
      </c>
      <c r="D362" s="207"/>
      <c r="E362" s="155">
        <f>+G362+K362</f>
        <v>39.8</v>
      </c>
      <c r="F362" s="155">
        <f>+H362+L362</f>
        <v>39.8</v>
      </c>
      <c r="G362" s="155">
        <f>+G363</f>
        <v>39.8</v>
      </c>
      <c r="H362" s="155">
        <f>+H363</f>
        <v>39.8</v>
      </c>
      <c r="I362" s="79"/>
      <c r="J362" s="79"/>
      <c r="K362" s="79"/>
      <c r="L362" s="143"/>
      <c r="M362" s="1"/>
      <c r="N362" s="1"/>
    </row>
    <row r="363" spans="1:14" ht="15" customHeight="1">
      <c r="A363" s="55">
        <v>107</v>
      </c>
      <c r="B363" s="7"/>
      <c r="C363" s="64" t="s">
        <v>108</v>
      </c>
      <c r="D363" s="207"/>
      <c r="E363" s="153">
        <f>+G363+K363</f>
        <v>39.8</v>
      </c>
      <c r="F363" s="153">
        <f>+H363+L363</f>
        <v>39.8</v>
      </c>
      <c r="G363" s="153">
        <f>+G365</f>
        <v>39.8</v>
      </c>
      <c r="H363" s="153">
        <f>+H365</f>
        <v>39.8</v>
      </c>
      <c r="I363" s="153">
        <f>+I365</f>
        <v>0</v>
      </c>
      <c r="J363" s="153"/>
      <c r="K363" s="153">
        <f>+K365</f>
        <v>0</v>
      </c>
      <c r="L363" s="143"/>
      <c r="M363" s="1"/>
      <c r="N363" s="1"/>
    </row>
    <row r="364" spans="1:14" ht="15" customHeight="1">
      <c r="A364" s="55"/>
      <c r="B364" s="7"/>
      <c r="C364" s="38" t="s">
        <v>109</v>
      </c>
      <c r="D364" s="207"/>
      <c r="E364" s="153"/>
      <c r="F364" s="153"/>
      <c r="G364" s="153"/>
      <c r="H364" s="153"/>
      <c r="I364" s="153"/>
      <c r="J364" s="153"/>
      <c r="K364" s="153"/>
      <c r="L364" s="143"/>
      <c r="M364" s="1"/>
      <c r="N364" s="1"/>
    </row>
    <row r="365" spans="1:14" ht="25.5">
      <c r="A365" s="73" t="s">
        <v>544</v>
      </c>
      <c r="B365" s="9"/>
      <c r="C365" s="67" t="s">
        <v>309</v>
      </c>
      <c r="D365" s="207"/>
      <c r="E365" s="153">
        <f aca="true" t="shared" si="29" ref="E365:F368">+G365+K365</f>
        <v>39.8</v>
      </c>
      <c r="F365" s="153">
        <f t="shared" si="29"/>
        <v>39.8</v>
      </c>
      <c r="G365" s="153">
        <f>+G366</f>
        <v>39.8</v>
      </c>
      <c r="H365" s="153">
        <f>+H366</f>
        <v>39.8</v>
      </c>
      <c r="I365" s="153">
        <f>+I366</f>
        <v>0</v>
      </c>
      <c r="J365" s="153"/>
      <c r="K365" s="153">
        <f>+K366</f>
        <v>0</v>
      </c>
      <c r="L365" s="143"/>
      <c r="M365" s="1"/>
      <c r="N365" s="1"/>
    </row>
    <row r="366" spans="1:14" ht="27" customHeight="1">
      <c r="A366" s="73" t="s">
        <v>545</v>
      </c>
      <c r="B366" s="9"/>
      <c r="C366" s="61" t="s">
        <v>347</v>
      </c>
      <c r="D366" s="207" t="s">
        <v>365</v>
      </c>
      <c r="E366" s="153">
        <f t="shared" si="29"/>
        <v>39.8</v>
      </c>
      <c r="F366" s="153">
        <f t="shared" si="29"/>
        <v>39.8</v>
      </c>
      <c r="G366" s="153">
        <f>20+20-0.2</f>
        <v>39.8</v>
      </c>
      <c r="H366" s="153">
        <v>39.8</v>
      </c>
      <c r="I366" s="153"/>
      <c r="J366" s="153"/>
      <c r="K366" s="153"/>
      <c r="L366" s="143"/>
      <c r="M366" s="1"/>
      <c r="N366" s="1"/>
    </row>
    <row r="367" spans="1:14" ht="19.5" customHeight="1">
      <c r="A367" s="55">
        <v>108</v>
      </c>
      <c r="B367" s="7" t="s">
        <v>147</v>
      </c>
      <c r="C367" s="10" t="s">
        <v>148</v>
      </c>
      <c r="D367" s="205"/>
      <c r="E367" s="79">
        <f t="shared" si="29"/>
        <v>21</v>
      </c>
      <c r="F367" s="79">
        <f t="shared" si="29"/>
        <v>20</v>
      </c>
      <c r="G367" s="79">
        <f>+G368</f>
        <v>21</v>
      </c>
      <c r="H367" s="79">
        <f>+H368</f>
        <v>20</v>
      </c>
      <c r="I367" s="79"/>
      <c r="J367" s="79"/>
      <c r="K367" s="79"/>
      <c r="L367" s="143"/>
      <c r="M367" s="1"/>
      <c r="N367" s="1"/>
    </row>
    <row r="368" spans="1:14" ht="12" customHeight="1">
      <c r="A368" s="55">
        <v>109</v>
      </c>
      <c r="B368" s="7"/>
      <c r="C368" s="64" t="s">
        <v>108</v>
      </c>
      <c r="D368" s="205"/>
      <c r="E368" s="153">
        <f t="shared" si="29"/>
        <v>21</v>
      </c>
      <c r="F368" s="153">
        <f t="shared" si="29"/>
        <v>20</v>
      </c>
      <c r="G368" s="153">
        <f>+G370+G371</f>
        <v>21</v>
      </c>
      <c r="H368" s="153">
        <f>+H370+H371</f>
        <v>20</v>
      </c>
      <c r="I368" s="153">
        <f>SUM(I370:I370)</f>
        <v>0</v>
      </c>
      <c r="J368" s="153"/>
      <c r="K368" s="153">
        <f>SUM(K370:K370)</f>
        <v>0</v>
      </c>
      <c r="L368" s="143"/>
      <c r="M368" s="1"/>
      <c r="N368" s="1"/>
    </row>
    <row r="369" spans="1:14" ht="12" customHeight="1">
      <c r="A369" s="55"/>
      <c r="B369" s="7"/>
      <c r="C369" s="38" t="s">
        <v>109</v>
      </c>
      <c r="D369" s="205"/>
      <c r="E369" s="155"/>
      <c r="F369" s="155"/>
      <c r="G369" s="155"/>
      <c r="H369" s="155"/>
      <c r="I369" s="155"/>
      <c r="J369" s="155"/>
      <c r="K369" s="155"/>
      <c r="L369" s="143"/>
      <c r="M369" s="1"/>
      <c r="N369" s="1"/>
    </row>
    <row r="370" spans="1:14" ht="24.75" customHeight="1">
      <c r="A370" s="73" t="s">
        <v>546</v>
      </c>
      <c r="B370" s="9"/>
      <c r="C370" s="12" t="s">
        <v>386</v>
      </c>
      <c r="D370" s="162" t="s">
        <v>149</v>
      </c>
      <c r="E370" s="153">
        <f aca="true" t="shared" si="30" ref="E370:F377">+G370+K370</f>
        <v>20</v>
      </c>
      <c r="F370" s="153">
        <f t="shared" si="30"/>
        <v>20</v>
      </c>
      <c r="G370" s="153">
        <v>20</v>
      </c>
      <c r="H370" s="153">
        <v>20</v>
      </c>
      <c r="I370" s="153"/>
      <c r="J370" s="153"/>
      <c r="K370" s="153"/>
      <c r="L370" s="143"/>
      <c r="M370" s="1"/>
      <c r="N370" s="1"/>
    </row>
    <row r="371" spans="1:14" ht="18" customHeight="1">
      <c r="A371" s="73" t="s">
        <v>547</v>
      </c>
      <c r="B371" s="9"/>
      <c r="C371" s="12" t="s">
        <v>151</v>
      </c>
      <c r="D371" s="162" t="s">
        <v>264</v>
      </c>
      <c r="E371" s="153">
        <f t="shared" si="30"/>
        <v>1</v>
      </c>
      <c r="F371" s="201">
        <f t="shared" si="30"/>
        <v>0</v>
      </c>
      <c r="G371" s="153">
        <v>1</v>
      </c>
      <c r="H371" s="201">
        <v>0</v>
      </c>
      <c r="I371" s="153"/>
      <c r="J371" s="153"/>
      <c r="K371" s="153"/>
      <c r="L371" s="143"/>
      <c r="M371" s="1"/>
      <c r="N371" s="1"/>
    </row>
    <row r="372" spans="1:14" ht="19.5" customHeight="1">
      <c r="A372" s="55">
        <v>110</v>
      </c>
      <c r="B372" s="7" t="s">
        <v>25</v>
      </c>
      <c r="C372" s="10" t="s">
        <v>26</v>
      </c>
      <c r="D372" s="205"/>
      <c r="E372" s="79">
        <f t="shared" si="30"/>
        <v>3466.1</v>
      </c>
      <c r="F372" s="79">
        <f t="shared" si="30"/>
        <v>3255.6</v>
      </c>
      <c r="G372" s="79">
        <f aca="true" t="shared" si="31" ref="G372:L372">+G373+G375+G377+G386+G388+G391+G394+G397+G400+G404+G407+G410+G413+G416+G419</f>
        <v>3361.2999999999997</v>
      </c>
      <c r="H372" s="79">
        <f t="shared" si="31"/>
        <v>3156.5</v>
      </c>
      <c r="I372" s="79">
        <f t="shared" si="31"/>
        <v>1630.6999999999998</v>
      </c>
      <c r="J372" s="79">
        <f t="shared" si="31"/>
        <v>1611.8</v>
      </c>
      <c r="K372" s="79">
        <f t="shared" si="31"/>
        <v>104.8</v>
      </c>
      <c r="L372" s="79">
        <f t="shared" si="31"/>
        <v>99.10000000000001</v>
      </c>
      <c r="M372" s="1"/>
      <c r="N372" s="1"/>
    </row>
    <row r="373" spans="1:14" ht="15" customHeight="1">
      <c r="A373" s="232">
        <v>111</v>
      </c>
      <c r="B373" s="239"/>
      <c r="C373" s="61" t="s">
        <v>27</v>
      </c>
      <c r="D373" s="235" t="s">
        <v>28</v>
      </c>
      <c r="E373" s="153">
        <f t="shared" si="30"/>
        <v>62.800000000000004</v>
      </c>
      <c r="F373" s="153">
        <f t="shared" si="30"/>
        <v>62.599999999999994</v>
      </c>
      <c r="G373" s="153">
        <f>62.1-50.5+G374+0.3</f>
        <v>12.300000000000002</v>
      </c>
      <c r="H373" s="153">
        <v>12.2</v>
      </c>
      <c r="I373" s="153">
        <f>4.4+I374+0.3</f>
        <v>5</v>
      </c>
      <c r="J373" s="153">
        <v>5</v>
      </c>
      <c r="K373" s="153">
        <v>50.5</v>
      </c>
      <c r="L373" s="143">
        <v>50.4</v>
      </c>
      <c r="M373" s="1"/>
      <c r="N373" s="1"/>
    </row>
    <row r="374" spans="1:14" ht="15" customHeight="1">
      <c r="A374" s="232"/>
      <c r="B374" s="239"/>
      <c r="C374" s="200" t="s">
        <v>420</v>
      </c>
      <c r="D374" s="235"/>
      <c r="E374" s="153">
        <f t="shared" si="30"/>
        <v>0.4</v>
      </c>
      <c r="F374" s="153">
        <f t="shared" si="30"/>
        <v>0.4</v>
      </c>
      <c r="G374" s="153">
        <v>0.4</v>
      </c>
      <c r="H374" s="153">
        <v>0.4</v>
      </c>
      <c r="I374" s="153">
        <v>0.3</v>
      </c>
      <c r="J374" s="153">
        <v>0.3</v>
      </c>
      <c r="K374" s="153"/>
      <c r="L374" s="143"/>
      <c r="M374" s="1"/>
      <c r="N374" s="1"/>
    </row>
    <row r="375" spans="1:14" ht="15" customHeight="1">
      <c r="A375" s="232">
        <v>112</v>
      </c>
      <c r="B375" s="239"/>
      <c r="C375" s="64" t="s">
        <v>150</v>
      </c>
      <c r="D375" s="235" t="s">
        <v>189</v>
      </c>
      <c r="E375" s="153">
        <f t="shared" si="30"/>
        <v>95.69999999999999</v>
      </c>
      <c r="F375" s="153">
        <f t="shared" si="30"/>
        <v>95.69999999999999</v>
      </c>
      <c r="G375" s="153">
        <f>91.6-1.8+0.2+4.1</f>
        <v>94.1</v>
      </c>
      <c r="H375" s="153">
        <v>94.1</v>
      </c>
      <c r="I375" s="153">
        <f>63.6+2.6</f>
        <v>66.2</v>
      </c>
      <c r="J375" s="153">
        <v>66.2</v>
      </c>
      <c r="K375" s="153">
        <f>1.8-0.2</f>
        <v>1.6</v>
      </c>
      <c r="L375" s="143">
        <v>1.6</v>
      </c>
      <c r="M375" s="1"/>
      <c r="N375" s="1"/>
    </row>
    <row r="376" spans="1:14" ht="15" customHeight="1">
      <c r="A376" s="232"/>
      <c r="B376" s="239"/>
      <c r="C376" s="213" t="s">
        <v>399</v>
      </c>
      <c r="D376" s="235"/>
      <c r="E376" s="153">
        <f t="shared" si="30"/>
        <v>2.7</v>
      </c>
      <c r="F376" s="153">
        <f t="shared" si="30"/>
        <v>2.7</v>
      </c>
      <c r="G376" s="153">
        <v>2.7</v>
      </c>
      <c r="H376" s="153">
        <v>2.7</v>
      </c>
      <c r="I376" s="153">
        <v>2.1</v>
      </c>
      <c r="J376" s="153">
        <v>2.1</v>
      </c>
      <c r="K376" s="153"/>
      <c r="L376" s="143"/>
      <c r="M376" s="1"/>
      <c r="N376" s="1"/>
    </row>
    <row r="377" spans="1:14" ht="15" customHeight="1">
      <c r="A377" s="55">
        <v>113</v>
      </c>
      <c r="B377" s="7"/>
      <c r="C377" s="64" t="s">
        <v>108</v>
      </c>
      <c r="D377" s="162"/>
      <c r="E377" s="153">
        <f t="shared" si="30"/>
        <v>2354</v>
      </c>
      <c r="F377" s="153">
        <f t="shared" si="30"/>
        <v>2157.6</v>
      </c>
      <c r="G377" s="153">
        <f aca="true" t="shared" si="32" ref="G377:L377">+G379+G381+G382+G383+G384+G385</f>
        <v>2302.1</v>
      </c>
      <c r="H377" s="153">
        <f t="shared" si="32"/>
        <v>2111.2</v>
      </c>
      <c r="I377" s="153">
        <f t="shared" si="32"/>
        <v>1030.4</v>
      </c>
      <c r="J377" s="153">
        <f>+J379+J381+J382+J383+J384+J385</f>
        <v>1013.5</v>
      </c>
      <c r="K377" s="153">
        <f t="shared" si="32"/>
        <v>51.9</v>
      </c>
      <c r="L377" s="153">
        <f t="shared" si="32"/>
        <v>46.4</v>
      </c>
      <c r="M377" s="1"/>
      <c r="N377" s="1"/>
    </row>
    <row r="378" spans="1:14" ht="15" customHeight="1">
      <c r="A378" s="55"/>
      <c r="B378" s="7"/>
      <c r="C378" s="12" t="s">
        <v>109</v>
      </c>
      <c r="D378" s="162"/>
      <c r="E378" s="153"/>
      <c r="F378" s="153"/>
      <c r="G378" s="153"/>
      <c r="H378" s="153"/>
      <c r="I378" s="153"/>
      <c r="J378" s="153"/>
      <c r="K378" s="153"/>
      <c r="L378" s="143"/>
      <c r="M378" s="1"/>
      <c r="N378" s="1"/>
    </row>
    <row r="379" spans="1:14" ht="72" customHeight="1">
      <c r="A379" s="238" t="s">
        <v>548</v>
      </c>
      <c r="B379" s="239"/>
      <c r="C379" s="64" t="s">
        <v>151</v>
      </c>
      <c r="D379" s="235" t="s">
        <v>260</v>
      </c>
      <c r="E379" s="153">
        <f>+G379+K379</f>
        <v>2065.2999999999997</v>
      </c>
      <c r="F379" s="153">
        <f>+H379+L379</f>
        <v>1888.3</v>
      </c>
      <c r="G379" s="153">
        <f>1982.6-51.9-6+3.3+16.5+68.9</f>
        <v>2013.3999999999999</v>
      </c>
      <c r="H379" s="153">
        <f>1831.8+10.1</f>
        <v>1841.8999999999999</v>
      </c>
      <c r="I379" s="153">
        <f>988.5+2.5+39.4</f>
        <v>1030.4</v>
      </c>
      <c r="J379" s="153">
        <v>1013.5</v>
      </c>
      <c r="K379" s="153">
        <v>51.9</v>
      </c>
      <c r="L379" s="143">
        <v>46.4</v>
      </c>
      <c r="M379" s="1"/>
      <c r="N379" s="1"/>
    </row>
    <row r="380" spans="1:14" ht="15" customHeight="1">
      <c r="A380" s="238"/>
      <c r="B380" s="239"/>
      <c r="C380" s="213" t="s">
        <v>399</v>
      </c>
      <c r="D380" s="235"/>
      <c r="E380" s="153">
        <f>+G380+K380</f>
        <v>10.1</v>
      </c>
      <c r="F380" s="153">
        <f>+H380+L380</f>
        <v>10.1</v>
      </c>
      <c r="G380" s="153">
        <v>10.1</v>
      </c>
      <c r="H380" s="153">
        <v>10.1</v>
      </c>
      <c r="I380" s="153">
        <v>7.7</v>
      </c>
      <c r="J380" s="153">
        <v>7.7</v>
      </c>
      <c r="K380" s="153"/>
      <c r="L380" s="143"/>
      <c r="M380" s="1"/>
      <c r="N380" s="1"/>
    </row>
    <row r="381" spans="1:14" ht="28.5" customHeight="1">
      <c r="A381" s="73" t="s">
        <v>549</v>
      </c>
      <c r="B381" s="9"/>
      <c r="C381" s="12" t="s">
        <v>391</v>
      </c>
      <c r="D381" s="162" t="s">
        <v>152</v>
      </c>
      <c r="E381" s="153">
        <f aca="true" t="shared" si="33" ref="E381:F421">+G381+K381</f>
        <v>10.2</v>
      </c>
      <c r="F381" s="153">
        <f t="shared" si="33"/>
        <v>10.2</v>
      </c>
      <c r="G381" s="153">
        <v>10.2</v>
      </c>
      <c r="H381" s="153">
        <v>10.2</v>
      </c>
      <c r="I381" s="153"/>
      <c r="J381" s="153"/>
      <c r="K381" s="153"/>
      <c r="L381" s="143"/>
      <c r="M381" s="1"/>
      <c r="N381" s="1"/>
    </row>
    <row r="382" spans="1:14" ht="27" customHeight="1">
      <c r="A382" s="73" t="s">
        <v>550</v>
      </c>
      <c r="B382" s="9"/>
      <c r="C382" s="12" t="s">
        <v>392</v>
      </c>
      <c r="D382" s="162" t="s">
        <v>230</v>
      </c>
      <c r="E382" s="153">
        <f t="shared" si="33"/>
        <v>20</v>
      </c>
      <c r="F382" s="153">
        <f t="shared" si="33"/>
        <v>0.6</v>
      </c>
      <c r="G382" s="153">
        <v>20</v>
      </c>
      <c r="H382" s="153">
        <v>0.6</v>
      </c>
      <c r="I382" s="153"/>
      <c r="J382" s="153"/>
      <c r="K382" s="153"/>
      <c r="L382" s="143"/>
      <c r="M382" s="1"/>
      <c r="N382" s="1"/>
    </row>
    <row r="383" spans="1:14" ht="15" customHeight="1">
      <c r="A383" s="73" t="s">
        <v>551</v>
      </c>
      <c r="B383" s="9"/>
      <c r="C383" s="12" t="s">
        <v>393</v>
      </c>
      <c r="D383" s="162" t="s">
        <v>63</v>
      </c>
      <c r="E383" s="153">
        <f t="shared" si="33"/>
        <v>19</v>
      </c>
      <c r="F383" s="153">
        <f t="shared" si="33"/>
        <v>19</v>
      </c>
      <c r="G383" s="153">
        <v>19</v>
      </c>
      <c r="H383" s="153">
        <v>19</v>
      </c>
      <c r="I383" s="153"/>
      <c r="J383" s="153"/>
      <c r="K383" s="153"/>
      <c r="L383" s="143"/>
      <c r="M383" s="1"/>
      <c r="N383" s="1"/>
    </row>
    <row r="384" spans="1:14" ht="15" customHeight="1">
      <c r="A384" s="73" t="s">
        <v>552</v>
      </c>
      <c r="B384" s="9"/>
      <c r="C384" s="12" t="s">
        <v>394</v>
      </c>
      <c r="D384" s="162" t="s">
        <v>153</v>
      </c>
      <c r="E384" s="153">
        <f t="shared" si="33"/>
        <v>223</v>
      </c>
      <c r="F384" s="153">
        <f t="shared" si="33"/>
        <v>223</v>
      </c>
      <c r="G384" s="153">
        <f>193+30</f>
        <v>223</v>
      </c>
      <c r="H384" s="153">
        <v>223</v>
      </c>
      <c r="I384" s="153"/>
      <c r="J384" s="153"/>
      <c r="K384" s="153"/>
      <c r="L384" s="143"/>
      <c r="M384" s="1"/>
      <c r="N384" s="1"/>
    </row>
    <row r="385" spans="1:14" ht="15" customHeight="1">
      <c r="A385" s="73" t="s">
        <v>553</v>
      </c>
      <c r="B385" s="9"/>
      <c r="C385" s="12" t="s">
        <v>395</v>
      </c>
      <c r="D385" s="162" t="s">
        <v>63</v>
      </c>
      <c r="E385" s="153">
        <f t="shared" si="33"/>
        <v>16.5</v>
      </c>
      <c r="F385" s="153">
        <f t="shared" si="33"/>
        <v>16.5</v>
      </c>
      <c r="G385" s="153">
        <v>16.5</v>
      </c>
      <c r="H385" s="153">
        <v>16.5</v>
      </c>
      <c r="I385" s="153"/>
      <c r="J385" s="153"/>
      <c r="K385" s="153"/>
      <c r="L385" s="143"/>
      <c r="M385" s="1"/>
      <c r="N385" s="1"/>
    </row>
    <row r="386" spans="1:14" ht="15" customHeight="1">
      <c r="A386" s="55">
        <v>114</v>
      </c>
      <c r="B386" s="9"/>
      <c r="C386" s="64" t="s">
        <v>151</v>
      </c>
      <c r="D386" s="162"/>
      <c r="E386" s="153">
        <f>+E387</f>
        <v>45</v>
      </c>
      <c r="F386" s="153">
        <f>+F387</f>
        <v>39.7</v>
      </c>
      <c r="G386" s="153">
        <f>+G387</f>
        <v>45</v>
      </c>
      <c r="H386" s="153">
        <f>+H387</f>
        <v>39.7</v>
      </c>
      <c r="I386" s="153"/>
      <c r="J386" s="153"/>
      <c r="K386" s="153"/>
      <c r="L386" s="143"/>
      <c r="M386" s="1"/>
      <c r="N386" s="1"/>
    </row>
    <row r="387" spans="1:14" ht="15" customHeight="1">
      <c r="A387" s="73" t="s">
        <v>554</v>
      </c>
      <c r="B387" s="9"/>
      <c r="C387" s="12" t="s">
        <v>154</v>
      </c>
      <c r="D387" s="162" t="s">
        <v>155</v>
      </c>
      <c r="E387" s="153">
        <f t="shared" si="33"/>
        <v>45</v>
      </c>
      <c r="F387" s="153">
        <f t="shared" si="33"/>
        <v>39.7</v>
      </c>
      <c r="G387" s="153">
        <v>45</v>
      </c>
      <c r="H387" s="153">
        <v>39.7</v>
      </c>
      <c r="I387" s="153"/>
      <c r="J387" s="153"/>
      <c r="K387" s="153"/>
      <c r="L387" s="143"/>
      <c r="M387" s="1"/>
      <c r="N387" s="1"/>
    </row>
    <row r="388" spans="1:14" ht="15" customHeight="1">
      <c r="A388" s="232">
        <v>115</v>
      </c>
      <c r="B388" s="231"/>
      <c r="C388" s="61" t="s">
        <v>8</v>
      </c>
      <c r="D388" s="235" t="s">
        <v>219</v>
      </c>
      <c r="E388" s="153">
        <f aca="true" t="shared" si="34" ref="E388:F390">+G388+K388</f>
        <v>159.59999999999997</v>
      </c>
      <c r="F388" s="153">
        <f t="shared" si="34"/>
        <v>159.2</v>
      </c>
      <c r="G388" s="153">
        <f>142.2+G389+4.5+11.2</f>
        <v>159.59999999999997</v>
      </c>
      <c r="H388" s="153">
        <v>159.2</v>
      </c>
      <c r="I388" s="153">
        <f>92.9+I389+3.6+6.2</f>
        <v>104</v>
      </c>
      <c r="J388" s="153">
        <v>104</v>
      </c>
      <c r="K388" s="153"/>
      <c r="L388" s="143"/>
      <c r="M388" s="1"/>
      <c r="N388" s="1"/>
    </row>
    <row r="389" spans="1:14" ht="15" customHeight="1">
      <c r="A389" s="232"/>
      <c r="B389" s="231"/>
      <c r="C389" s="200" t="s">
        <v>420</v>
      </c>
      <c r="D389" s="235"/>
      <c r="E389" s="153">
        <f t="shared" si="34"/>
        <v>1.7</v>
      </c>
      <c r="F389" s="153">
        <f t="shared" si="34"/>
        <v>1.7</v>
      </c>
      <c r="G389" s="153">
        <v>1.7</v>
      </c>
      <c r="H389" s="153">
        <v>1.7</v>
      </c>
      <c r="I389" s="153">
        <v>1.3</v>
      </c>
      <c r="J389" s="153">
        <v>1.3</v>
      </c>
      <c r="K389" s="153"/>
      <c r="L389" s="143"/>
      <c r="M389" s="1"/>
      <c r="N389" s="1"/>
    </row>
    <row r="390" spans="1:14" ht="15" customHeight="1">
      <c r="A390" s="232"/>
      <c r="B390" s="231"/>
      <c r="C390" s="21" t="s">
        <v>198</v>
      </c>
      <c r="D390" s="162" t="s">
        <v>72</v>
      </c>
      <c r="E390" s="153">
        <f t="shared" si="34"/>
        <v>22.8</v>
      </c>
      <c r="F390" s="153">
        <f t="shared" si="34"/>
        <v>22.8</v>
      </c>
      <c r="G390" s="153">
        <f>18.5+4.3</f>
        <v>22.8</v>
      </c>
      <c r="H390" s="153">
        <v>22.8</v>
      </c>
      <c r="I390" s="153">
        <v>17.3</v>
      </c>
      <c r="J390" s="153">
        <v>17.3</v>
      </c>
      <c r="K390" s="153"/>
      <c r="L390" s="143"/>
      <c r="M390" s="1"/>
      <c r="N390" s="1"/>
    </row>
    <row r="391" spans="1:14" ht="15" customHeight="1">
      <c r="A391" s="232">
        <v>116</v>
      </c>
      <c r="B391" s="231"/>
      <c r="C391" s="61" t="s">
        <v>4</v>
      </c>
      <c r="D391" s="235" t="s">
        <v>219</v>
      </c>
      <c r="E391" s="153">
        <f t="shared" si="33"/>
        <v>67.19999999999997</v>
      </c>
      <c r="F391" s="153">
        <f t="shared" si="33"/>
        <v>67.1</v>
      </c>
      <c r="G391" s="153">
        <f>68+G392-2.9+0.1+1.6</f>
        <v>67.09999999999998</v>
      </c>
      <c r="H391" s="153">
        <v>67.1</v>
      </c>
      <c r="I391" s="153">
        <f>46+I392-2.1</f>
        <v>44.1</v>
      </c>
      <c r="J391" s="153">
        <v>44</v>
      </c>
      <c r="K391" s="153">
        <v>0.1</v>
      </c>
      <c r="L391" s="143">
        <v>0</v>
      </c>
      <c r="M391" s="1"/>
      <c r="N391" s="1"/>
    </row>
    <row r="392" spans="1:14" ht="15" customHeight="1">
      <c r="A392" s="232"/>
      <c r="B392" s="231"/>
      <c r="C392" s="200" t="s">
        <v>420</v>
      </c>
      <c r="D392" s="235"/>
      <c r="E392" s="153">
        <f t="shared" si="33"/>
        <v>0.3</v>
      </c>
      <c r="F392" s="153">
        <f t="shared" si="33"/>
        <v>0.3</v>
      </c>
      <c r="G392" s="153">
        <v>0.3</v>
      </c>
      <c r="H392" s="153">
        <v>0.3</v>
      </c>
      <c r="I392" s="153">
        <v>0.2</v>
      </c>
      <c r="J392" s="153">
        <v>0.2</v>
      </c>
      <c r="K392" s="153"/>
      <c r="L392" s="143"/>
      <c r="M392" s="1"/>
      <c r="N392" s="1"/>
    </row>
    <row r="393" spans="1:14" ht="15" customHeight="1">
      <c r="A393" s="232"/>
      <c r="B393" s="231"/>
      <c r="C393" s="21" t="s">
        <v>198</v>
      </c>
      <c r="D393" s="162" t="s">
        <v>72</v>
      </c>
      <c r="E393" s="153">
        <f t="shared" si="33"/>
        <v>9.2</v>
      </c>
      <c r="F393" s="153">
        <f t="shared" si="33"/>
        <v>9.2</v>
      </c>
      <c r="G393" s="153">
        <f>9.1+0.1</f>
        <v>9.2</v>
      </c>
      <c r="H393" s="153">
        <v>9.2</v>
      </c>
      <c r="I393" s="153">
        <v>7</v>
      </c>
      <c r="J393" s="153">
        <v>7</v>
      </c>
      <c r="K393" s="153"/>
      <c r="L393" s="143"/>
      <c r="M393" s="1"/>
      <c r="N393" s="1"/>
    </row>
    <row r="394" spans="1:14" ht="15" customHeight="1">
      <c r="A394" s="232">
        <v>117</v>
      </c>
      <c r="B394" s="231"/>
      <c r="C394" s="61" t="s">
        <v>5</v>
      </c>
      <c r="D394" s="235" t="s">
        <v>219</v>
      </c>
      <c r="E394" s="153">
        <f t="shared" si="33"/>
        <v>91.39999999999999</v>
      </c>
      <c r="F394" s="153">
        <f t="shared" si="33"/>
        <v>91.1</v>
      </c>
      <c r="G394" s="153">
        <f>81+G395+0.7+8.6</f>
        <v>91.39999999999999</v>
      </c>
      <c r="H394" s="153">
        <v>91.1</v>
      </c>
      <c r="I394" s="153">
        <f>38.9+I395+0.6+2</f>
        <v>42.3</v>
      </c>
      <c r="J394" s="153">
        <v>42.3</v>
      </c>
      <c r="K394" s="153"/>
      <c r="L394" s="143"/>
      <c r="M394" s="1"/>
      <c r="N394" s="1"/>
    </row>
    <row r="395" spans="1:14" ht="15" customHeight="1">
      <c r="A395" s="232"/>
      <c r="B395" s="231"/>
      <c r="C395" s="200" t="s">
        <v>420</v>
      </c>
      <c r="D395" s="235"/>
      <c r="E395" s="153">
        <f t="shared" si="33"/>
        <v>1.1</v>
      </c>
      <c r="F395" s="153">
        <f t="shared" si="33"/>
        <v>1.1</v>
      </c>
      <c r="G395" s="153">
        <v>1.1</v>
      </c>
      <c r="H395" s="153">
        <v>1.1</v>
      </c>
      <c r="I395" s="153">
        <v>0.8</v>
      </c>
      <c r="J395" s="153">
        <v>0.8</v>
      </c>
      <c r="K395" s="153"/>
      <c r="L395" s="143"/>
      <c r="M395" s="1"/>
      <c r="N395" s="1"/>
    </row>
    <row r="396" spans="1:14" ht="15" customHeight="1">
      <c r="A396" s="232"/>
      <c r="B396" s="231"/>
      <c r="C396" s="21" t="s">
        <v>198</v>
      </c>
      <c r="D396" s="162" t="s">
        <v>72</v>
      </c>
      <c r="E396" s="153">
        <f t="shared" si="33"/>
        <v>2.8</v>
      </c>
      <c r="F396" s="153">
        <f t="shared" si="33"/>
        <v>2.8</v>
      </c>
      <c r="G396" s="153">
        <v>2.8</v>
      </c>
      <c r="H396" s="153">
        <v>2.8</v>
      </c>
      <c r="I396" s="153">
        <v>2.1</v>
      </c>
      <c r="J396" s="153">
        <v>2.1</v>
      </c>
      <c r="K396" s="153"/>
      <c r="L396" s="143"/>
      <c r="M396" s="1"/>
      <c r="N396" s="1"/>
    </row>
    <row r="397" spans="1:14" ht="15" customHeight="1">
      <c r="A397" s="232">
        <v>118</v>
      </c>
      <c r="B397" s="231"/>
      <c r="C397" s="61" t="s">
        <v>7</v>
      </c>
      <c r="D397" s="235" t="s">
        <v>219</v>
      </c>
      <c r="E397" s="153">
        <f aca="true" t="shared" si="35" ref="E397:F399">+G397+K397</f>
        <v>70.6</v>
      </c>
      <c r="F397" s="153">
        <f t="shared" si="35"/>
        <v>69.9</v>
      </c>
      <c r="G397" s="153">
        <f>63.1+G398+6.6</f>
        <v>70.6</v>
      </c>
      <c r="H397" s="153">
        <v>69.9</v>
      </c>
      <c r="I397" s="153">
        <f>37.9+I398-0.7+3.2</f>
        <v>41.1</v>
      </c>
      <c r="J397" s="153">
        <v>41</v>
      </c>
      <c r="K397" s="153"/>
      <c r="L397" s="143"/>
      <c r="M397" s="1"/>
      <c r="N397" s="1"/>
    </row>
    <row r="398" spans="1:14" ht="15" customHeight="1">
      <c r="A398" s="232"/>
      <c r="B398" s="231"/>
      <c r="C398" s="200" t="s">
        <v>420</v>
      </c>
      <c r="D398" s="235"/>
      <c r="E398" s="153">
        <f t="shared" si="35"/>
        <v>0.9</v>
      </c>
      <c r="F398" s="153">
        <f t="shared" si="35"/>
        <v>0.9</v>
      </c>
      <c r="G398" s="153">
        <v>0.9</v>
      </c>
      <c r="H398" s="153">
        <v>0.9</v>
      </c>
      <c r="I398" s="153">
        <v>0.7</v>
      </c>
      <c r="J398" s="153">
        <v>0.7</v>
      </c>
      <c r="K398" s="153"/>
      <c r="L398" s="143"/>
      <c r="M398" s="1"/>
      <c r="N398" s="1"/>
    </row>
    <row r="399" spans="1:14" ht="15" customHeight="1">
      <c r="A399" s="232"/>
      <c r="B399" s="231"/>
      <c r="C399" s="21" t="s">
        <v>198</v>
      </c>
      <c r="D399" s="162" t="s">
        <v>72</v>
      </c>
      <c r="E399" s="153">
        <f t="shared" si="35"/>
        <v>3.3</v>
      </c>
      <c r="F399" s="153">
        <f t="shared" si="35"/>
        <v>3.3</v>
      </c>
      <c r="G399" s="153">
        <v>3.3</v>
      </c>
      <c r="H399" s="153">
        <v>3.3</v>
      </c>
      <c r="I399" s="153">
        <v>2.5</v>
      </c>
      <c r="J399" s="153">
        <v>2.5</v>
      </c>
      <c r="K399" s="153"/>
      <c r="L399" s="143"/>
      <c r="M399" s="1"/>
      <c r="N399" s="1"/>
    </row>
    <row r="400" spans="1:14" ht="15" customHeight="1">
      <c r="A400" s="232">
        <v>119</v>
      </c>
      <c r="B400" s="231"/>
      <c r="C400" s="61" t="s">
        <v>6</v>
      </c>
      <c r="D400" s="235" t="s">
        <v>219</v>
      </c>
      <c r="E400" s="153">
        <f t="shared" si="33"/>
        <v>69.39999999999999</v>
      </c>
      <c r="F400" s="153">
        <f t="shared" si="33"/>
        <v>69</v>
      </c>
      <c r="G400" s="153">
        <f>65+G402+0.5+1.5+1.6</f>
        <v>69.39999999999999</v>
      </c>
      <c r="H400" s="153">
        <v>69</v>
      </c>
      <c r="I400" s="153">
        <f>39.6+I402+1.1+0.4</f>
        <v>41.7</v>
      </c>
      <c r="J400" s="153">
        <v>41.6</v>
      </c>
      <c r="K400" s="153"/>
      <c r="L400" s="143"/>
      <c r="M400" s="1"/>
      <c r="N400" s="1"/>
    </row>
    <row r="401" spans="1:14" ht="15" customHeight="1">
      <c r="A401" s="232"/>
      <c r="B401" s="231"/>
      <c r="C401" s="213" t="s">
        <v>399</v>
      </c>
      <c r="D401" s="235"/>
      <c r="E401" s="153">
        <f t="shared" si="33"/>
        <v>0.1</v>
      </c>
      <c r="F401" s="153">
        <f t="shared" si="33"/>
        <v>0.1</v>
      </c>
      <c r="G401" s="153">
        <v>0.1</v>
      </c>
      <c r="H401" s="153">
        <v>0.1</v>
      </c>
      <c r="I401" s="153">
        <v>0.1</v>
      </c>
      <c r="J401" s="153">
        <v>0.1</v>
      </c>
      <c r="K401" s="153"/>
      <c r="L401" s="143"/>
      <c r="M401" s="1"/>
      <c r="N401" s="1"/>
    </row>
    <row r="402" spans="1:14" ht="15" customHeight="1">
      <c r="A402" s="232"/>
      <c r="B402" s="231"/>
      <c r="C402" s="200" t="s">
        <v>420</v>
      </c>
      <c r="D402" s="235"/>
      <c r="E402" s="153">
        <f t="shared" si="33"/>
        <v>0.8</v>
      </c>
      <c r="F402" s="153">
        <f t="shared" si="33"/>
        <v>0.8</v>
      </c>
      <c r="G402" s="153">
        <v>0.8</v>
      </c>
      <c r="H402" s="153">
        <v>0.8</v>
      </c>
      <c r="I402" s="153">
        <v>0.6</v>
      </c>
      <c r="J402" s="153">
        <v>0.6</v>
      </c>
      <c r="K402" s="153"/>
      <c r="L402" s="143"/>
      <c r="M402" s="1"/>
      <c r="N402" s="1"/>
    </row>
    <row r="403" spans="1:14" ht="15" customHeight="1">
      <c r="A403" s="232"/>
      <c r="B403" s="231"/>
      <c r="C403" s="21" t="s">
        <v>400</v>
      </c>
      <c r="D403" s="162" t="s">
        <v>72</v>
      </c>
      <c r="E403" s="153">
        <f>+G403+K403</f>
        <v>4.8</v>
      </c>
      <c r="F403" s="153">
        <f>+H403+L403</f>
        <v>4.8</v>
      </c>
      <c r="G403" s="153">
        <v>4.8</v>
      </c>
      <c r="H403" s="153">
        <v>4.8</v>
      </c>
      <c r="I403" s="153">
        <v>3.6</v>
      </c>
      <c r="J403" s="153">
        <v>3.6</v>
      </c>
      <c r="K403" s="153"/>
      <c r="L403" s="143"/>
      <c r="M403" s="1"/>
      <c r="N403" s="1"/>
    </row>
    <row r="404" spans="1:14" ht="15" customHeight="1">
      <c r="A404" s="232">
        <v>120</v>
      </c>
      <c r="B404" s="231"/>
      <c r="C404" s="61" t="s">
        <v>9</v>
      </c>
      <c r="D404" s="235" t="s">
        <v>219</v>
      </c>
      <c r="E404" s="153">
        <f t="shared" si="33"/>
        <v>75.4</v>
      </c>
      <c r="F404" s="153">
        <f t="shared" si="33"/>
        <v>75.1</v>
      </c>
      <c r="G404" s="153">
        <f>72.3+G405-0.8+3.2</f>
        <v>75.4</v>
      </c>
      <c r="H404" s="153">
        <v>75.1</v>
      </c>
      <c r="I404" s="153">
        <f>39.7+I405-0.1+1.5</f>
        <v>41.6</v>
      </c>
      <c r="J404" s="153">
        <v>41.4</v>
      </c>
      <c r="K404" s="153"/>
      <c r="L404" s="143"/>
      <c r="M404" s="1"/>
      <c r="N404" s="1"/>
    </row>
    <row r="405" spans="1:14" ht="15" customHeight="1">
      <c r="A405" s="232"/>
      <c r="B405" s="231"/>
      <c r="C405" s="200" t="s">
        <v>420</v>
      </c>
      <c r="D405" s="235"/>
      <c r="E405" s="153">
        <f t="shared" si="33"/>
        <v>0.7</v>
      </c>
      <c r="F405" s="153">
        <f t="shared" si="33"/>
        <v>0.7</v>
      </c>
      <c r="G405" s="153">
        <v>0.7</v>
      </c>
      <c r="H405" s="153">
        <v>0.7</v>
      </c>
      <c r="I405" s="153">
        <v>0.5</v>
      </c>
      <c r="J405" s="153">
        <v>0.5</v>
      </c>
      <c r="K405" s="153"/>
      <c r="L405" s="143"/>
      <c r="M405" s="1"/>
      <c r="N405" s="1"/>
    </row>
    <row r="406" spans="1:14" ht="15" customHeight="1">
      <c r="A406" s="232"/>
      <c r="B406" s="231"/>
      <c r="C406" s="21" t="s">
        <v>198</v>
      </c>
      <c r="D406" s="162" t="s">
        <v>72</v>
      </c>
      <c r="E406" s="153">
        <f>+G406+K406</f>
        <v>8.3</v>
      </c>
      <c r="F406" s="153">
        <f>+H406+L406</f>
        <v>8.3</v>
      </c>
      <c r="G406" s="153">
        <v>8.3</v>
      </c>
      <c r="H406" s="153">
        <v>8.3</v>
      </c>
      <c r="I406" s="153">
        <v>6.3</v>
      </c>
      <c r="J406" s="153">
        <v>6.2</v>
      </c>
      <c r="K406" s="153"/>
      <c r="L406" s="143"/>
      <c r="M406" s="1"/>
      <c r="N406" s="1"/>
    </row>
    <row r="407" spans="1:14" ht="15" customHeight="1">
      <c r="A407" s="232">
        <v>121</v>
      </c>
      <c r="B407" s="231"/>
      <c r="C407" s="64" t="s">
        <v>10</v>
      </c>
      <c r="D407" s="235" t="s">
        <v>219</v>
      </c>
      <c r="E407" s="153">
        <f t="shared" si="33"/>
        <v>60.9</v>
      </c>
      <c r="F407" s="153">
        <f t="shared" si="33"/>
        <v>60.6</v>
      </c>
      <c r="G407" s="153">
        <f>57.1+G408-0.7+3.3</f>
        <v>60.199999999999996</v>
      </c>
      <c r="H407" s="153">
        <v>59.9</v>
      </c>
      <c r="I407" s="153">
        <f>33.4+I408+2</f>
        <v>35.8</v>
      </c>
      <c r="J407" s="153">
        <v>35.7</v>
      </c>
      <c r="K407" s="153">
        <v>0.7</v>
      </c>
      <c r="L407" s="143">
        <v>0.7</v>
      </c>
      <c r="M407" s="1"/>
      <c r="N407" s="1"/>
    </row>
    <row r="408" spans="1:14" ht="15" customHeight="1">
      <c r="A408" s="232"/>
      <c r="B408" s="231"/>
      <c r="C408" s="200" t="s">
        <v>420</v>
      </c>
      <c r="D408" s="235"/>
      <c r="E408" s="153">
        <f t="shared" si="33"/>
        <v>0.5</v>
      </c>
      <c r="F408" s="153">
        <f t="shared" si="33"/>
        <v>0.5</v>
      </c>
      <c r="G408" s="153">
        <v>0.5</v>
      </c>
      <c r="H408" s="153">
        <v>0.5</v>
      </c>
      <c r="I408" s="153">
        <v>0.4</v>
      </c>
      <c r="J408" s="153">
        <v>0.4</v>
      </c>
      <c r="K408" s="153"/>
      <c r="L408" s="143"/>
      <c r="M408" s="1"/>
      <c r="N408" s="1"/>
    </row>
    <row r="409" spans="1:14" ht="15" customHeight="1">
      <c r="A409" s="232"/>
      <c r="B409" s="231"/>
      <c r="C409" s="21" t="s">
        <v>198</v>
      </c>
      <c r="D409" s="162" t="s">
        <v>72</v>
      </c>
      <c r="E409" s="153">
        <f aca="true" t="shared" si="36" ref="E409:F412">+G409+K409</f>
        <v>3.9</v>
      </c>
      <c r="F409" s="153">
        <f t="shared" si="36"/>
        <v>3.9</v>
      </c>
      <c r="G409" s="153">
        <v>3.9</v>
      </c>
      <c r="H409" s="153">
        <v>3.9</v>
      </c>
      <c r="I409" s="153">
        <v>2.9</v>
      </c>
      <c r="J409" s="153">
        <v>2.9</v>
      </c>
      <c r="K409" s="153"/>
      <c r="L409" s="143"/>
      <c r="M409" s="1"/>
      <c r="N409" s="1"/>
    </row>
    <row r="410" spans="1:14" ht="15" customHeight="1">
      <c r="A410" s="232">
        <v>122</v>
      </c>
      <c r="B410" s="231"/>
      <c r="C410" s="61" t="s">
        <v>12</v>
      </c>
      <c r="D410" s="235" t="s">
        <v>219</v>
      </c>
      <c r="E410" s="153">
        <f t="shared" si="36"/>
        <v>68.89999999999999</v>
      </c>
      <c r="F410" s="153">
        <f t="shared" si="36"/>
        <v>68.3</v>
      </c>
      <c r="G410" s="153">
        <f>61.4+G411+0.6+1.3+4.6</f>
        <v>68.89999999999999</v>
      </c>
      <c r="H410" s="153">
        <v>68.3</v>
      </c>
      <c r="I410" s="153">
        <f>38.9+I411+1.1+2.2</f>
        <v>43</v>
      </c>
      <c r="J410" s="153">
        <v>42.8</v>
      </c>
      <c r="K410" s="153"/>
      <c r="L410" s="143"/>
      <c r="M410" s="1"/>
      <c r="N410" s="1"/>
    </row>
    <row r="411" spans="1:14" ht="15" customHeight="1">
      <c r="A411" s="232"/>
      <c r="B411" s="231"/>
      <c r="C411" s="200" t="s">
        <v>420</v>
      </c>
      <c r="D411" s="235"/>
      <c r="E411" s="153">
        <f t="shared" si="36"/>
        <v>1</v>
      </c>
      <c r="F411" s="153">
        <f t="shared" si="36"/>
        <v>1</v>
      </c>
      <c r="G411" s="153">
        <f>0.8+0.2</f>
        <v>1</v>
      </c>
      <c r="H411" s="153">
        <v>1</v>
      </c>
      <c r="I411" s="153">
        <f>0.7+0.1</f>
        <v>0.7999999999999999</v>
      </c>
      <c r="J411" s="153">
        <v>0.8</v>
      </c>
      <c r="K411" s="153"/>
      <c r="L411" s="143"/>
      <c r="M411" s="1"/>
      <c r="N411" s="1"/>
    </row>
    <row r="412" spans="1:14" ht="15" customHeight="1">
      <c r="A412" s="232"/>
      <c r="B412" s="231"/>
      <c r="C412" s="21" t="s">
        <v>198</v>
      </c>
      <c r="D412" s="162" t="s">
        <v>72</v>
      </c>
      <c r="E412" s="153">
        <f t="shared" si="36"/>
        <v>3.3</v>
      </c>
      <c r="F412" s="153">
        <f t="shared" si="36"/>
        <v>3.1</v>
      </c>
      <c r="G412" s="153">
        <v>3.3</v>
      </c>
      <c r="H412" s="153">
        <v>3.1</v>
      </c>
      <c r="I412" s="153">
        <v>2.4</v>
      </c>
      <c r="J412" s="153">
        <v>2.3</v>
      </c>
      <c r="K412" s="153"/>
      <c r="L412" s="143"/>
      <c r="M412" s="1"/>
      <c r="N412" s="1"/>
    </row>
    <row r="413" spans="1:14" ht="15" customHeight="1">
      <c r="A413" s="232">
        <v>123</v>
      </c>
      <c r="B413" s="231"/>
      <c r="C413" s="61" t="s">
        <v>208</v>
      </c>
      <c r="D413" s="235" t="s">
        <v>219</v>
      </c>
      <c r="E413" s="153">
        <f t="shared" si="33"/>
        <v>91.50000000000001</v>
      </c>
      <c r="F413" s="153">
        <f t="shared" si="33"/>
        <v>88.5</v>
      </c>
      <c r="G413" s="153">
        <f>82.7+G414+1.7+5.9</f>
        <v>91.50000000000001</v>
      </c>
      <c r="H413" s="153">
        <v>88.5</v>
      </c>
      <c r="I413" s="153">
        <f>45.9+I414+3.5</f>
        <v>50.4</v>
      </c>
      <c r="J413" s="153">
        <v>49.7</v>
      </c>
      <c r="K413" s="153"/>
      <c r="L413" s="143"/>
      <c r="M413" s="1"/>
      <c r="N413" s="1"/>
    </row>
    <row r="414" spans="1:14" ht="15" customHeight="1">
      <c r="A414" s="232"/>
      <c r="B414" s="231"/>
      <c r="C414" s="200" t="s">
        <v>420</v>
      </c>
      <c r="D414" s="235"/>
      <c r="E414" s="153">
        <f t="shared" si="33"/>
        <v>1.2</v>
      </c>
      <c r="F414" s="153">
        <f t="shared" si="33"/>
        <v>1.2</v>
      </c>
      <c r="G414" s="153">
        <v>1.2</v>
      </c>
      <c r="H414" s="153">
        <v>1.2</v>
      </c>
      <c r="I414" s="153">
        <v>1</v>
      </c>
      <c r="J414" s="153">
        <v>1</v>
      </c>
      <c r="K414" s="153"/>
      <c r="L414" s="143"/>
      <c r="M414" s="1"/>
      <c r="N414" s="1"/>
    </row>
    <row r="415" spans="1:14" ht="15" customHeight="1">
      <c r="A415" s="232"/>
      <c r="B415" s="231"/>
      <c r="C415" s="21" t="s">
        <v>198</v>
      </c>
      <c r="D415" s="162" t="s">
        <v>72</v>
      </c>
      <c r="E415" s="153">
        <f>+G415+K415</f>
        <v>4.3</v>
      </c>
      <c r="F415" s="153">
        <f>+H415+L415</f>
        <v>4.1</v>
      </c>
      <c r="G415" s="153">
        <v>4.3</v>
      </c>
      <c r="H415" s="153">
        <v>4.1</v>
      </c>
      <c r="I415" s="153">
        <v>3.2</v>
      </c>
      <c r="J415" s="153">
        <v>3.1</v>
      </c>
      <c r="K415" s="153"/>
      <c r="L415" s="143"/>
      <c r="M415" s="1"/>
      <c r="N415" s="1"/>
    </row>
    <row r="416" spans="1:14" ht="15" customHeight="1">
      <c r="A416" s="232">
        <v>124</v>
      </c>
      <c r="B416" s="231"/>
      <c r="C416" s="61" t="s">
        <v>13</v>
      </c>
      <c r="D416" s="235" t="s">
        <v>219</v>
      </c>
      <c r="E416" s="153">
        <f t="shared" si="33"/>
        <v>69</v>
      </c>
      <c r="F416" s="153">
        <f t="shared" si="33"/>
        <v>68.8</v>
      </c>
      <c r="G416" s="153">
        <f>63.5+G417+4.7</f>
        <v>69</v>
      </c>
      <c r="H416" s="153">
        <v>68.8</v>
      </c>
      <c r="I416" s="153">
        <f>38.5+I417+1.4</f>
        <v>40.5</v>
      </c>
      <c r="J416" s="153">
        <v>40.5</v>
      </c>
      <c r="K416" s="153"/>
      <c r="L416" s="143"/>
      <c r="M416" s="1"/>
      <c r="N416" s="1"/>
    </row>
    <row r="417" spans="1:14" ht="15" customHeight="1">
      <c r="A417" s="232"/>
      <c r="B417" s="231"/>
      <c r="C417" s="200" t="s">
        <v>420</v>
      </c>
      <c r="D417" s="235"/>
      <c r="E417" s="153">
        <f t="shared" si="33"/>
        <v>0.8</v>
      </c>
      <c r="F417" s="153">
        <f t="shared" si="33"/>
        <v>0.8</v>
      </c>
      <c r="G417" s="153">
        <v>0.8</v>
      </c>
      <c r="H417" s="153">
        <v>0.8</v>
      </c>
      <c r="I417" s="153">
        <v>0.6</v>
      </c>
      <c r="J417" s="153">
        <v>0.6</v>
      </c>
      <c r="K417" s="153"/>
      <c r="L417" s="143"/>
      <c r="M417" s="1"/>
      <c r="N417" s="1"/>
    </row>
    <row r="418" spans="1:14" ht="15" customHeight="1">
      <c r="A418" s="232"/>
      <c r="B418" s="231"/>
      <c r="C418" s="21" t="s">
        <v>198</v>
      </c>
      <c r="D418" s="162" t="s">
        <v>72</v>
      </c>
      <c r="E418" s="153">
        <f t="shared" si="33"/>
        <v>3.5</v>
      </c>
      <c r="F418" s="153">
        <f t="shared" si="33"/>
        <v>3.5</v>
      </c>
      <c r="G418" s="153">
        <v>3.5</v>
      </c>
      <c r="H418" s="153">
        <v>3.5</v>
      </c>
      <c r="I418" s="153">
        <v>2.6</v>
      </c>
      <c r="J418" s="153">
        <v>2.6</v>
      </c>
      <c r="K418" s="153"/>
      <c r="L418" s="143"/>
      <c r="M418" s="1"/>
      <c r="N418" s="1"/>
    </row>
    <row r="419" spans="1:14" ht="15" customHeight="1">
      <c r="A419" s="232">
        <v>125</v>
      </c>
      <c r="B419" s="231"/>
      <c r="C419" s="61" t="s">
        <v>14</v>
      </c>
      <c r="D419" s="235" t="s">
        <v>219</v>
      </c>
      <c r="E419" s="153">
        <f t="shared" si="33"/>
        <v>84.70000000000002</v>
      </c>
      <c r="F419" s="153">
        <f t="shared" si="33"/>
        <v>82.4</v>
      </c>
      <c r="G419" s="153">
        <f>81.4+G421+0.4-2.6+2.2</f>
        <v>84.70000000000002</v>
      </c>
      <c r="H419" s="153">
        <v>82.4</v>
      </c>
      <c r="I419" s="153">
        <f>44.7+I421-2.6</f>
        <v>44.6</v>
      </c>
      <c r="J419" s="153">
        <v>44.1</v>
      </c>
      <c r="K419" s="153"/>
      <c r="L419" s="143"/>
      <c r="M419" s="1"/>
      <c r="N419" s="1"/>
    </row>
    <row r="420" spans="1:14" ht="15" customHeight="1">
      <c r="A420" s="232"/>
      <c r="B420" s="231"/>
      <c r="C420" s="213" t="s">
        <v>399</v>
      </c>
      <c r="D420" s="235"/>
      <c r="E420" s="153">
        <f t="shared" si="33"/>
        <v>0.1</v>
      </c>
      <c r="F420" s="153">
        <f t="shared" si="33"/>
        <v>0.1</v>
      </c>
      <c r="G420" s="153">
        <v>0.1</v>
      </c>
      <c r="H420" s="153">
        <v>0.1</v>
      </c>
      <c r="I420" s="153">
        <v>0.1</v>
      </c>
      <c r="J420" s="153">
        <v>0.1</v>
      </c>
      <c r="K420" s="153"/>
      <c r="L420" s="143"/>
      <c r="M420" s="1"/>
      <c r="N420" s="1"/>
    </row>
    <row r="421" spans="1:14" ht="15" customHeight="1">
      <c r="A421" s="232"/>
      <c r="B421" s="231"/>
      <c r="C421" s="200" t="s">
        <v>420</v>
      </c>
      <c r="D421" s="235"/>
      <c r="E421" s="153">
        <f t="shared" si="33"/>
        <v>3.3</v>
      </c>
      <c r="F421" s="153">
        <f t="shared" si="33"/>
        <v>3.3</v>
      </c>
      <c r="G421" s="153">
        <v>3.3</v>
      </c>
      <c r="H421" s="153">
        <v>3.3</v>
      </c>
      <c r="I421" s="153">
        <v>2.5</v>
      </c>
      <c r="J421" s="153">
        <v>2.5</v>
      </c>
      <c r="K421" s="153"/>
      <c r="L421" s="143"/>
      <c r="M421" s="1"/>
      <c r="N421" s="1"/>
    </row>
    <row r="422" spans="1:14" ht="15" customHeight="1">
      <c r="A422" s="232"/>
      <c r="B422" s="231"/>
      <c r="C422" s="21" t="s">
        <v>400</v>
      </c>
      <c r="D422" s="162" t="s">
        <v>72</v>
      </c>
      <c r="E422" s="153">
        <f>+G422+K422</f>
        <v>5.2</v>
      </c>
      <c r="F422" s="153">
        <f>+H422+L422</f>
        <v>5.1</v>
      </c>
      <c r="G422" s="153">
        <v>5.2</v>
      </c>
      <c r="H422" s="153">
        <v>5.1</v>
      </c>
      <c r="I422" s="153">
        <v>4</v>
      </c>
      <c r="J422" s="153">
        <v>3.9</v>
      </c>
      <c r="K422" s="153"/>
      <c r="L422" s="143"/>
      <c r="M422" s="1"/>
      <c r="N422" s="1"/>
    </row>
    <row r="423" spans="1:14" ht="15" customHeight="1">
      <c r="A423" s="55">
        <v>126</v>
      </c>
      <c r="B423" s="9"/>
      <c r="C423" s="110" t="s">
        <v>20</v>
      </c>
      <c r="D423" s="124"/>
      <c r="E423" s="79">
        <f>+G423+K423</f>
        <v>26428</v>
      </c>
      <c r="F423" s="79">
        <f>+H423+L423</f>
        <v>24918.200000000004</v>
      </c>
      <c r="G423" s="79">
        <f aca="true" t="shared" si="37" ref="G423:L423">+G11+G126+G152+G199+G226+G255+G281+G333+G362+G367+G372</f>
        <v>23803.3</v>
      </c>
      <c r="H423" s="79">
        <f t="shared" si="37"/>
        <v>22840.800000000003</v>
      </c>
      <c r="I423" s="79">
        <f t="shared" si="37"/>
        <v>9581.300000000001</v>
      </c>
      <c r="J423" s="79">
        <f t="shared" si="37"/>
        <v>9550.500000000002</v>
      </c>
      <c r="K423" s="79">
        <f t="shared" si="37"/>
        <v>2624.7000000000007</v>
      </c>
      <c r="L423" s="79">
        <f t="shared" si="37"/>
        <v>2077.4</v>
      </c>
      <c r="M423" s="1"/>
      <c r="N423" s="1"/>
    </row>
    <row r="424" spans="1:14" ht="12.75">
      <c r="A424" s="111"/>
      <c r="C424" s="18" t="s">
        <v>184</v>
      </c>
      <c r="D424" s="47"/>
      <c r="E424" s="25"/>
      <c r="F424" s="25"/>
      <c r="G424" s="25"/>
      <c r="H424" s="25"/>
      <c r="I424" s="1"/>
      <c r="J424" s="1"/>
      <c r="K424" s="1"/>
      <c r="L424" s="1"/>
      <c r="N424" s="96"/>
    </row>
    <row r="425" spans="1:12" ht="12.75">
      <c r="A425" s="111"/>
      <c r="C425" s="18"/>
      <c r="D425" s="22"/>
      <c r="E425" s="112"/>
      <c r="F425" s="112"/>
      <c r="G425" s="112"/>
      <c r="H425" s="112"/>
      <c r="I425" s="90"/>
      <c r="J425" s="90"/>
      <c r="K425" s="90"/>
      <c r="L425" s="2"/>
    </row>
    <row r="426" spans="5:13" ht="12.75">
      <c r="E426" s="112"/>
      <c r="F426" s="112"/>
      <c r="G426" s="112"/>
      <c r="H426" s="112"/>
      <c r="I426" s="112"/>
      <c r="J426" s="112"/>
      <c r="K426" s="112"/>
      <c r="L426" s="112"/>
      <c r="M426" s="1"/>
    </row>
    <row r="427" spans="4:11" ht="12.75">
      <c r="D427" s="72"/>
      <c r="E427" s="112"/>
      <c r="F427" s="112"/>
      <c r="G427" s="1"/>
      <c r="H427" s="1"/>
      <c r="I427" s="1"/>
      <c r="J427" s="1"/>
      <c r="K427" s="1"/>
    </row>
    <row r="428" spans="4:10" ht="12.75">
      <c r="D428" s="72"/>
      <c r="E428" s="1"/>
      <c r="F428" s="1"/>
      <c r="G428" s="1"/>
      <c r="H428" s="1"/>
      <c r="I428" s="1"/>
      <c r="J428" s="1"/>
    </row>
    <row r="429" spans="3:11" ht="12.75">
      <c r="C429" s="4"/>
      <c r="D429" s="5"/>
      <c r="E429" s="1"/>
      <c r="F429" s="1"/>
      <c r="G429" s="1"/>
      <c r="H429" s="1"/>
      <c r="I429" s="1"/>
      <c r="J429" s="1"/>
      <c r="K429" s="1"/>
    </row>
    <row r="430" spans="3:11" ht="12.75">
      <c r="C430" s="113"/>
      <c r="D430" s="5"/>
      <c r="E430" s="1"/>
      <c r="F430" s="1"/>
      <c r="G430" s="1"/>
      <c r="H430" s="1"/>
      <c r="I430" s="1"/>
      <c r="J430" s="1"/>
      <c r="K430" s="1"/>
    </row>
    <row r="431" spans="3:12" ht="12.75">
      <c r="C431" s="114"/>
      <c r="D431" s="5"/>
      <c r="E431" s="1"/>
      <c r="F431" s="1"/>
      <c r="G431" s="1"/>
      <c r="H431" s="1"/>
      <c r="I431" s="1"/>
      <c r="J431" s="1"/>
      <c r="K431" s="1"/>
      <c r="L431" s="1"/>
    </row>
    <row r="432" spans="3:10" ht="12.75">
      <c r="C432" s="5"/>
      <c r="D432" s="5"/>
      <c r="E432" s="1"/>
      <c r="F432" s="1"/>
      <c r="G432" s="1"/>
      <c r="H432" s="1"/>
      <c r="I432" s="1"/>
      <c r="J432" s="1"/>
    </row>
    <row r="433" spans="3:12" ht="12.75">
      <c r="C433" s="5"/>
      <c r="D433" s="5"/>
      <c r="E433" s="1"/>
      <c r="F433" s="1"/>
      <c r="G433" s="1"/>
      <c r="H433" s="1"/>
      <c r="I433" s="1"/>
      <c r="J433" s="1"/>
      <c r="K433" s="1"/>
      <c r="L433" s="1"/>
    </row>
    <row r="434" spans="5:11" ht="12.75">
      <c r="E434" s="25"/>
      <c r="F434" s="25"/>
      <c r="G434" s="25"/>
      <c r="H434" s="25"/>
      <c r="I434" s="25"/>
      <c r="J434" s="25"/>
      <c r="K434" s="25"/>
    </row>
    <row r="435" spans="5:11" ht="12.75">
      <c r="E435" s="1"/>
      <c r="F435" s="1"/>
      <c r="G435" s="1"/>
      <c r="H435" s="1"/>
      <c r="I435" s="1"/>
      <c r="J435" s="1"/>
      <c r="K435" s="1"/>
    </row>
    <row r="436" spans="5:8" ht="12.75">
      <c r="E436" s="1"/>
      <c r="F436" s="1"/>
      <c r="G436" s="96"/>
      <c r="H436" s="96"/>
    </row>
    <row r="437" spans="5:12" ht="12.75">
      <c r="E437" s="1"/>
      <c r="F437" s="1"/>
      <c r="G437" s="1"/>
      <c r="H437" s="1"/>
      <c r="I437" s="1"/>
      <c r="J437" s="1"/>
      <c r="K437" s="1"/>
      <c r="L437" s="52"/>
    </row>
  </sheetData>
  <sheetProtection/>
  <mergeCells count="242">
    <mergeCell ref="D358:D359"/>
    <mergeCell ref="D360:D361"/>
    <mergeCell ref="D167:D168"/>
    <mergeCell ref="D400:D402"/>
    <mergeCell ref="A407:A409"/>
    <mergeCell ref="B407:B409"/>
    <mergeCell ref="D407:D408"/>
    <mergeCell ref="A400:A403"/>
    <mergeCell ref="B400:B403"/>
    <mergeCell ref="A404:A406"/>
    <mergeCell ref="B404:B406"/>
    <mergeCell ref="D404:D405"/>
    <mergeCell ref="A419:A422"/>
    <mergeCell ref="B419:B422"/>
    <mergeCell ref="D419:D421"/>
    <mergeCell ref="A416:A418"/>
    <mergeCell ref="B416:B418"/>
    <mergeCell ref="D410:D411"/>
    <mergeCell ref="D413:D414"/>
    <mergeCell ref="D416:D417"/>
    <mergeCell ref="A413:A415"/>
    <mergeCell ref="B413:B415"/>
    <mergeCell ref="A397:A399"/>
    <mergeCell ref="D397:D398"/>
    <mergeCell ref="A388:A390"/>
    <mergeCell ref="B388:B390"/>
    <mergeCell ref="D388:D389"/>
    <mergeCell ref="A391:A393"/>
    <mergeCell ref="B391:B393"/>
    <mergeCell ref="D391:D392"/>
    <mergeCell ref="D394:D395"/>
    <mergeCell ref="B394:B396"/>
    <mergeCell ref="B360:B361"/>
    <mergeCell ref="A373:A374"/>
    <mergeCell ref="B373:B374"/>
    <mergeCell ref="D373:D374"/>
    <mergeCell ref="A375:A376"/>
    <mergeCell ref="B375:B376"/>
    <mergeCell ref="D375:D376"/>
    <mergeCell ref="A360:A361"/>
    <mergeCell ref="A346:A347"/>
    <mergeCell ref="B346:B347"/>
    <mergeCell ref="D346:D347"/>
    <mergeCell ref="A353:A354"/>
    <mergeCell ref="B353:B354"/>
    <mergeCell ref="D353:D354"/>
    <mergeCell ref="D350:D351"/>
    <mergeCell ref="A350:A351"/>
    <mergeCell ref="B348:B349"/>
    <mergeCell ref="B350:B351"/>
    <mergeCell ref="A342:A343"/>
    <mergeCell ref="B342:B343"/>
    <mergeCell ref="D342:D343"/>
    <mergeCell ref="A344:A345"/>
    <mergeCell ref="B344:B345"/>
    <mergeCell ref="D344:D345"/>
    <mergeCell ref="A239:A240"/>
    <mergeCell ref="B239:B240"/>
    <mergeCell ref="D239:D240"/>
    <mergeCell ref="A241:A242"/>
    <mergeCell ref="B241:B242"/>
    <mergeCell ref="D241:D242"/>
    <mergeCell ref="A235:A236"/>
    <mergeCell ref="B235:B236"/>
    <mergeCell ref="D235:D236"/>
    <mergeCell ref="A237:A238"/>
    <mergeCell ref="B237:B238"/>
    <mergeCell ref="D237:D238"/>
    <mergeCell ref="A231:A232"/>
    <mergeCell ref="B231:B232"/>
    <mergeCell ref="D231:D232"/>
    <mergeCell ref="A233:A234"/>
    <mergeCell ref="B233:B234"/>
    <mergeCell ref="D233:D234"/>
    <mergeCell ref="A227:A228"/>
    <mergeCell ref="B227:B228"/>
    <mergeCell ref="D227:D228"/>
    <mergeCell ref="A229:A230"/>
    <mergeCell ref="B229:B230"/>
    <mergeCell ref="D229:D230"/>
    <mergeCell ref="B203:B208"/>
    <mergeCell ref="D203:D208"/>
    <mergeCell ref="A221:A222"/>
    <mergeCell ref="B221:B222"/>
    <mergeCell ref="D221:D222"/>
    <mergeCell ref="A223:A224"/>
    <mergeCell ref="B223:B224"/>
    <mergeCell ref="D223:D224"/>
    <mergeCell ref="A158:A159"/>
    <mergeCell ref="B158:B159"/>
    <mergeCell ref="D158:D159"/>
    <mergeCell ref="A186:A187"/>
    <mergeCell ref="B186:B187"/>
    <mergeCell ref="A219:A220"/>
    <mergeCell ref="B219:B220"/>
    <mergeCell ref="D219:D220"/>
    <mergeCell ref="D194:D195"/>
    <mergeCell ref="B194:B195"/>
    <mergeCell ref="B127:B128"/>
    <mergeCell ref="D127:D128"/>
    <mergeCell ref="A108:A110"/>
    <mergeCell ref="B108:B110"/>
    <mergeCell ref="D108:D110"/>
    <mergeCell ref="A153:A157"/>
    <mergeCell ref="B153:B157"/>
    <mergeCell ref="D153:D157"/>
    <mergeCell ref="D98:D99"/>
    <mergeCell ref="A100:A104"/>
    <mergeCell ref="B100:B104"/>
    <mergeCell ref="D100:D103"/>
    <mergeCell ref="A105:A107"/>
    <mergeCell ref="B105:B107"/>
    <mergeCell ref="D105:D107"/>
    <mergeCell ref="D92:D93"/>
    <mergeCell ref="B89:B91"/>
    <mergeCell ref="A89:A91"/>
    <mergeCell ref="D89:D91"/>
    <mergeCell ref="A96:A97"/>
    <mergeCell ref="B96:B97"/>
    <mergeCell ref="D96:D97"/>
    <mergeCell ref="A82:A85"/>
    <mergeCell ref="B82:B85"/>
    <mergeCell ref="D82:D85"/>
    <mergeCell ref="D79:D81"/>
    <mergeCell ref="A79:A81"/>
    <mergeCell ref="B76:B78"/>
    <mergeCell ref="A76:A78"/>
    <mergeCell ref="D76:D78"/>
    <mergeCell ref="A12:A14"/>
    <mergeCell ref="B12:B14"/>
    <mergeCell ref="D12:D14"/>
    <mergeCell ref="A27:A30"/>
    <mergeCell ref="B27:B30"/>
    <mergeCell ref="B15:B17"/>
    <mergeCell ref="B21:B23"/>
    <mergeCell ref="B45:B48"/>
    <mergeCell ref="A24:A26"/>
    <mergeCell ref="B37:B40"/>
    <mergeCell ref="D27:D30"/>
    <mergeCell ref="D34:D36"/>
    <mergeCell ref="A37:A40"/>
    <mergeCell ref="D41:D44"/>
    <mergeCell ref="D348:D349"/>
    <mergeCell ref="A348:A349"/>
    <mergeCell ref="D94:D95"/>
    <mergeCell ref="D86:D88"/>
    <mergeCell ref="D164:D165"/>
    <mergeCell ref="D53:D55"/>
    <mergeCell ref="A62:A65"/>
    <mergeCell ref="B59:B61"/>
    <mergeCell ref="B56:B58"/>
    <mergeCell ref="D59:D61"/>
    <mergeCell ref="B164:B165"/>
    <mergeCell ref="B92:B93"/>
    <mergeCell ref="A98:A99"/>
    <mergeCell ref="B98:B99"/>
    <mergeCell ref="A127:A128"/>
    <mergeCell ref="A18:A20"/>
    <mergeCell ref="B72:B75"/>
    <mergeCell ref="B18:B20"/>
    <mergeCell ref="A59:A61"/>
    <mergeCell ref="B53:B55"/>
    <mergeCell ref="B356:B357"/>
    <mergeCell ref="A356:A357"/>
    <mergeCell ref="A358:A359"/>
    <mergeCell ref="B358:B359"/>
    <mergeCell ref="A203:A208"/>
    <mergeCell ref="A86:A88"/>
    <mergeCell ref="B86:B88"/>
    <mergeCell ref="A94:A95"/>
    <mergeCell ref="B94:B95"/>
    <mergeCell ref="A164:A165"/>
    <mergeCell ref="B160:B161"/>
    <mergeCell ref="D72:D75"/>
    <mergeCell ref="A72:A75"/>
    <mergeCell ref="B79:B81"/>
    <mergeCell ref="A92:A93"/>
    <mergeCell ref="A379:A380"/>
    <mergeCell ref="B379:B380"/>
    <mergeCell ref="D379:D380"/>
    <mergeCell ref="D186:D187"/>
    <mergeCell ref="A194:A195"/>
    <mergeCell ref="B49:B52"/>
    <mergeCell ref="A162:A163"/>
    <mergeCell ref="B162:B163"/>
    <mergeCell ref="D162:D163"/>
    <mergeCell ref="B62:B65"/>
    <mergeCell ref="D69:D71"/>
    <mergeCell ref="D62:D65"/>
    <mergeCell ref="B66:B68"/>
    <mergeCell ref="D66:D68"/>
    <mergeCell ref="A66:A68"/>
    <mergeCell ref="A69:A71"/>
    <mergeCell ref="A394:A396"/>
    <mergeCell ref="D49:D52"/>
    <mergeCell ref="A45:A48"/>
    <mergeCell ref="D37:D40"/>
    <mergeCell ref="B397:B399"/>
    <mergeCell ref="B69:B71"/>
    <mergeCell ref="D160:D161"/>
    <mergeCell ref="D45:D48"/>
    <mergeCell ref="A49:A52"/>
    <mergeCell ref="D56:D58"/>
    <mergeCell ref="A56:A58"/>
    <mergeCell ref="A34:A36"/>
    <mergeCell ref="A53:A55"/>
    <mergeCell ref="C6:C9"/>
    <mergeCell ref="A410:A412"/>
    <mergeCell ref="B410:B412"/>
    <mergeCell ref="D31:D33"/>
    <mergeCell ref="A160:A161"/>
    <mergeCell ref="B34:B36"/>
    <mergeCell ref="A6:A9"/>
    <mergeCell ref="B6:B9"/>
    <mergeCell ref="D15:D17"/>
    <mergeCell ref="G8:G9"/>
    <mergeCell ref="H8:H9"/>
    <mergeCell ref="A41:A44"/>
    <mergeCell ref="B41:B44"/>
    <mergeCell ref="A15:A17"/>
    <mergeCell ref="D18:D20"/>
    <mergeCell ref="A21:A23"/>
    <mergeCell ref="K7:L7"/>
    <mergeCell ref="L8:L9"/>
    <mergeCell ref="F8:F9"/>
    <mergeCell ref="B24:B26"/>
    <mergeCell ref="A31:A33"/>
    <mergeCell ref="D21:D23"/>
    <mergeCell ref="D24:D26"/>
    <mergeCell ref="B31:B33"/>
    <mergeCell ref="E8:E9"/>
    <mergeCell ref="D6:D9"/>
    <mergeCell ref="H1:L1"/>
    <mergeCell ref="H2:L2"/>
    <mergeCell ref="E3:L3"/>
    <mergeCell ref="I5:L5"/>
    <mergeCell ref="I8:J8"/>
    <mergeCell ref="K8:K9"/>
    <mergeCell ref="A4:K4"/>
    <mergeCell ref="G7:J7"/>
    <mergeCell ref="E6:F7"/>
    <mergeCell ref="G6:L6"/>
  </mergeCells>
  <printOptions/>
  <pageMargins left="0" right="0" top="0.31496062992125984" bottom="0.1968503937007874" header="0.31496062992125984" footer="0"/>
  <pageSetup fitToHeight="0" fitToWidth="0"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O46"/>
  <sheetViews>
    <sheetView zoomScalePageLayoutView="0" workbookViewId="0" topLeftCell="A1">
      <selection activeCell="Q14" sqref="Q14"/>
    </sheetView>
  </sheetViews>
  <sheetFormatPr defaultColWidth="9.140625" defaultRowHeight="12.75"/>
  <cols>
    <col min="1" max="1" width="4.421875" style="2" customWidth="1"/>
    <col min="2" max="2" width="5.57421875" style="44" customWidth="1"/>
    <col min="3" max="3" width="41.421875" style="44" customWidth="1"/>
    <col min="4" max="4" width="10.140625" style="5" customWidth="1"/>
    <col min="5" max="5" width="8.421875" style="5" customWidth="1"/>
    <col min="6" max="6" width="7.57421875" style="5" customWidth="1"/>
    <col min="7" max="7" width="8.8515625" style="5" customWidth="1"/>
    <col min="8" max="8" width="8.421875" style="5" customWidth="1"/>
    <col min="9" max="9" width="8.57421875" style="5" customWidth="1"/>
    <col min="10" max="10" width="8.8515625" style="5" customWidth="1"/>
    <col min="11" max="11" width="8.421875" style="5" customWidth="1"/>
    <col min="12" max="12" width="8.8515625" style="2" customWidth="1"/>
    <col min="13" max="16384" width="9.140625" style="2" customWidth="1"/>
  </cols>
  <sheetData>
    <row r="1" spans="3:12" ht="12.75">
      <c r="C1" s="216" t="s">
        <v>654</v>
      </c>
      <c r="D1" s="216"/>
      <c r="E1" s="216"/>
      <c r="F1" s="216"/>
      <c r="G1" s="216"/>
      <c r="H1" s="216"/>
      <c r="I1" s="216"/>
      <c r="J1" s="216"/>
      <c r="K1" s="216"/>
      <c r="L1" s="247"/>
    </row>
    <row r="2" spans="5:12" ht="15.75">
      <c r="E2" s="216" t="s">
        <v>658</v>
      </c>
      <c r="F2" s="217"/>
      <c r="G2" s="217"/>
      <c r="H2" s="217"/>
      <c r="I2" s="217"/>
      <c r="J2" s="217"/>
      <c r="K2" s="217"/>
      <c r="L2" s="244"/>
    </row>
    <row r="3" spans="5:12" ht="15.75">
      <c r="E3" s="26"/>
      <c r="F3" s="26"/>
      <c r="G3" s="26"/>
      <c r="H3" s="26"/>
      <c r="I3" s="26"/>
      <c r="J3" s="26"/>
      <c r="K3" s="216" t="s">
        <v>663</v>
      </c>
      <c r="L3" s="218"/>
    </row>
    <row r="4" spans="1:12" ht="22.5" customHeight="1">
      <c r="A4" s="252" t="s">
        <v>412</v>
      </c>
      <c r="B4" s="252"/>
      <c r="C4" s="252"/>
      <c r="D4" s="252"/>
      <c r="E4" s="252"/>
      <c r="F4" s="252"/>
      <c r="G4" s="252"/>
      <c r="H4" s="252"/>
      <c r="I4" s="252"/>
      <c r="J4" s="252"/>
      <c r="K4" s="252"/>
      <c r="L4" s="252"/>
    </row>
    <row r="5" spans="1:12" ht="12.75">
      <c r="A5" s="27"/>
      <c r="B5" s="45"/>
      <c r="C5" s="45"/>
      <c r="D5" s="29"/>
      <c r="E5" s="29"/>
      <c r="F5" s="29"/>
      <c r="G5" s="29"/>
      <c r="H5" s="29"/>
      <c r="I5" s="29"/>
      <c r="J5" s="29"/>
      <c r="K5" s="219" t="s">
        <v>256</v>
      </c>
      <c r="L5" s="220"/>
    </row>
    <row r="6" spans="1:12" ht="12.75" customHeight="1">
      <c r="A6" s="234" t="s">
        <v>0</v>
      </c>
      <c r="B6" s="234" t="s">
        <v>649</v>
      </c>
      <c r="C6" s="234" t="s">
        <v>16</v>
      </c>
      <c r="D6" s="234" t="s">
        <v>100</v>
      </c>
      <c r="E6" s="227" t="s">
        <v>17</v>
      </c>
      <c r="F6" s="228"/>
      <c r="G6" s="221" t="s">
        <v>18</v>
      </c>
      <c r="H6" s="226"/>
      <c r="I6" s="226"/>
      <c r="J6" s="226"/>
      <c r="K6" s="226"/>
      <c r="L6" s="222"/>
    </row>
    <row r="7" spans="1:12" ht="12.75" customHeight="1">
      <c r="A7" s="234"/>
      <c r="B7" s="234"/>
      <c r="C7" s="234"/>
      <c r="D7" s="234"/>
      <c r="E7" s="229"/>
      <c r="F7" s="230"/>
      <c r="G7" s="221" t="s">
        <v>156</v>
      </c>
      <c r="H7" s="226"/>
      <c r="I7" s="226"/>
      <c r="J7" s="222"/>
      <c r="K7" s="221" t="s">
        <v>29</v>
      </c>
      <c r="L7" s="222"/>
    </row>
    <row r="8" spans="1:12" ht="31.5" customHeight="1">
      <c r="A8" s="234"/>
      <c r="B8" s="234"/>
      <c r="C8" s="234"/>
      <c r="D8" s="234"/>
      <c r="E8" s="223" t="s">
        <v>650</v>
      </c>
      <c r="F8" s="223" t="s">
        <v>651</v>
      </c>
      <c r="G8" s="223" t="s">
        <v>650</v>
      </c>
      <c r="H8" s="223" t="s">
        <v>651</v>
      </c>
      <c r="I8" s="221" t="s">
        <v>30</v>
      </c>
      <c r="J8" s="222"/>
      <c r="K8" s="223" t="s">
        <v>650</v>
      </c>
      <c r="L8" s="223" t="s">
        <v>651</v>
      </c>
    </row>
    <row r="9" spans="1:12" ht="29.25" customHeight="1">
      <c r="A9" s="234"/>
      <c r="B9" s="234"/>
      <c r="C9" s="234"/>
      <c r="D9" s="234"/>
      <c r="E9" s="224"/>
      <c r="F9" s="224"/>
      <c r="G9" s="224"/>
      <c r="H9" s="224"/>
      <c r="I9" s="42" t="s">
        <v>650</v>
      </c>
      <c r="J9" s="6" t="s">
        <v>651</v>
      </c>
      <c r="K9" s="224"/>
      <c r="L9" s="224"/>
    </row>
    <row r="10" spans="1:15" s="14" customFormat="1" ht="12.75" customHeight="1">
      <c r="A10" s="6">
        <v>1</v>
      </c>
      <c r="B10" s="6">
        <v>2</v>
      </c>
      <c r="C10" s="6">
        <v>3</v>
      </c>
      <c r="D10" s="6">
        <v>4</v>
      </c>
      <c r="E10" s="6">
        <v>5</v>
      </c>
      <c r="F10" s="6">
        <v>6</v>
      </c>
      <c r="G10" s="6">
        <v>7</v>
      </c>
      <c r="H10" s="6">
        <v>8</v>
      </c>
      <c r="I10" s="6">
        <v>9</v>
      </c>
      <c r="J10" s="6">
        <v>10</v>
      </c>
      <c r="K10" s="6">
        <v>11</v>
      </c>
      <c r="L10" s="31">
        <v>12</v>
      </c>
      <c r="M10" s="2"/>
      <c r="N10" s="2"/>
      <c r="O10" s="2"/>
    </row>
    <row r="11" spans="1:15" s="14" customFormat="1" ht="19.5" customHeight="1">
      <c r="A11" s="55">
        <v>1</v>
      </c>
      <c r="B11" s="7" t="s">
        <v>101</v>
      </c>
      <c r="C11" s="50" t="s">
        <v>102</v>
      </c>
      <c r="D11" s="6"/>
      <c r="E11" s="150">
        <f aca="true" t="shared" si="0" ref="E11:F18">+G11+K11</f>
        <v>548.6</v>
      </c>
      <c r="F11" s="150">
        <f t="shared" si="0"/>
        <v>548.6</v>
      </c>
      <c r="G11" s="150">
        <f aca="true" t="shared" si="1" ref="G11:K12">+G12</f>
        <v>548.6</v>
      </c>
      <c r="H11" s="150">
        <f t="shared" si="1"/>
        <v>548.6</v>
      </c>
      <c r="I11" s="150">
        <f t="shared" si="1"/>
        <v>343</v>
      </c>
      <c r="J11" s="150">
        <f t="shared" si="1"/>
        <v>343</v>
      </c>
      <c r="K11" s="150">
        <f t="shared" si="1"/>
        <v>0</v>
      </c>
      <c r="L11" s="156">
        <v>0</v>
      </c>
      <c r="M11" s="1"/>
      <c r="N11" s="1"/>
      <c r="O11" s="1"/>
    </row>
    <row r="12" spans="1:15" s="14" customFormat="1" ht="27.75" customHeight="1">
      <c r="A12" s="55">
        <v>2</v>
      </c>
      <c r="B12" s="9"/>
      <c r="C12" s="91" t="s">
        <v>183</v>
      </c>
      <c r="D12" s="92"/>
      <c r="E12" s="151">
        <f t="shared" si="0"/>
        <v>548.6</v>
      </c>
      <c r="F12" s="151">
        <f t="shared" si="0"/>
        <v>548.6</v>
      </c>
      <c r="G12" s="151">
        <f t="shared" si="1"/>
        <v>548.6</v>
      </c>
      <c r="H12" s="151">
        <f t="shared" si="1"/>
        <v>548.6</v>
      </c>
      <c r="I12" s="151">
        <f t="shared" si="1"/>
        <v>343</v>
      </c>
      <c r="J12" s="151">
        <f t="shared" si="1"/>
        <v>343</v>
      </c>
      <c r="K12" s="151"/>
      <c r="L12" s="66"/>
      <c r="M12" s="1"/>
      <c r="N12" s="1"/>
      <c r="O12" s="1"/>
    </row>
    <row r="13" spans="1:15" ht="18" customHeight="1">
      <c r="A13" s="55">
        <v>3</v>
      </c>
      <c r="B13" s="7"/>
      <c r="C13" s="32" t="s">
        <v>88</v>
      </c>
      <c r="D13" s="81" t="s">
        <v>106</v>
      </c>
      <c r="E13" s="77">
        <f t="shared" si="0"/>
        <v>548.6</v>
      </c>
      <c r="F13" s="77">
        <f>+J13</f>
        <v>343</v>
      </c>
      <c r="G13" s="77">
        <f>538.1+10.5</f>
        <v>548.6</v>
      </c>
      <c r="H13" s="77">
        <v>548.6</v>
      </c>
      <c r="I13" s="77">
        <f>340+8-5</f>
        <v>343</v>
      </c>
      <c r="J13" s="77">
        <v>343</v>
      </c>
      <c r="K13" s="77"/>
      <c r="L13" s="66"/>
      <c r="M13" s="1"/>
      <c r="N13" s="1"/>
      <c r="O13" s="1"/>
    </row>
    <row r="14" spans="1:15" ht="30.75" customHeight="1">
      <c r="A14" s="55">
        <v>4</v>
      </c>
      <c r="B14" s="7" t="s">
        <v>135</v>
      </c>
      <c r="C14" s="74" t="s">
        <v>136</v>
      </c>
      <c r="D14" s="81"/>
      <c r="E14" s="140">
        <f t="shared" si="0"/>
        <v>1681.2</v>
      </c>
      <c r="F14" s="140">
        <f t="shared" si="0"/>
        <v>1643</v>
      </c>
      <c r="G14" s="140">
        <f aca="true" t="shared" si="2" ref="G14:L15">+G15</f>
        <v>796.7</v>
      </c>
      <c r="H14" s="140">
        <f t="shared" si="2"/>
        <v>784.6</v>
      </c>
      <c r="I14" s="140">
        <f t="shared" si="2"/>
        <v>0</v>
      </c>
      <c r="J14" s="140">
        <v>0</v>
      </c>
      <c r="K14" s="140">
        <f t="shared" si="2"/>
        <v>884.5</v>
      </c>
      <c r="L14" s="140">
        <f t="shared" si="2"/>
        <v>858.4</v>
      </c>
      <c r="M14" s="1"/>
      <c r="N14" s="1"/>
      <c r="O14" s="1"/>
    </row>
    <row r="15" spans="1:15" ht="41.25" customHeight="1">
      <c r="A15" s="55">
        <v>5</v>
      </c>
      <c r="B15" s="7"/>
      <c r="C15" s="21" t="s">
        <v>411</v>
      </c>
      <c r="D15" s="9"/>
      <c r="E15" s="151">
        <f t="shared" si="0"/>
        <v>1681.2</v>
      </c>
      <c r="F15" s="151">
        <f t="shared" si="0"/>
        <v>1643</v>
      </c>
      <c r="G15" s="151">
        <f t="shared" si="2"/>
        <v>796.7</v>
      </c>
      <c r="H15" s="151">
        <f t="shared" si="2"/>
        <v>784.6</v>
      </c>
      <c r="I15" s="151"/>
      <c r="J15" s="151"/>
      <c r="K15" s="151">
        <f t="shared" si="2"/>
        <v>884.5</v>
      </c>
      <c r="L15" s="151">
        <f t="shared" si="2"/>
        <v>858.4</v>
      </c>
      <c r="M15" s="1"/>
      <c r="N15" s="1"/>
      <c r="O15" s="1"/>
    </row>
    <row r="16" spans="1:15" ht="18" customHeight="1">
      <c r="A16" s="55">
        <v>6</v>
      </c>
      <c r="B16" s="7"/>
      <c r="C16" s="35" t="s">
        <v>3</v>
      </c>
      <c r="D16" s="87" t="s">
        <v>207</v>
      </c>
      <c r="E16" s="77">
        <f t="shared" si="0"/>
        <v>1681.2</v>
      </c>
      <c r="F16" s="77">
        <f>+H16+L16</f>
        <v>1643</v>
      </c>
      <c r="G16" s="77">
        <f>1681.2-884.5</f>
        <v>796.7</v>
      </c>
      <c r="H16" s="77">
        <v>784.6</v>
      </c>
      <c r="I16" s="77"/>
      <c r="J16" s="77"/>
      <c r="K16" s="77">
        <v>884.5</v>
      </c>
      <c r="L16" s="66">
        <v>858.4</v>
      </c>
      <c r="M16" s="1"/>
      <c r="N16" s="1"/>
      <c r="O16" s="1"/>
    </row>
    <row r="17" spans="1:15" ht="18" customHeight="1">
      <c r="A17" s="55">
        <v>7</v>
      </c>
      <c r="B17" s="7" t="s">
        <v>38</v>
      </c>
      <c r="C17" s="10" t="s">
        <v>39</v>
      </c>
      <c r="D17" s="81"/>
      <c r="E17" s="140">
        <f t="shared" si="0"/>
        <v>2.8</v>
      </c>
      <c r="F17" s="140">
        <v>2.7</v>
      </c>
      <c r="G17" s="140">
        <f>+G18</f>
        <v>2.8</v>
      </c>
      <c r="H17" s="140">
        <f>+H18</f>
        <v>2.7</v>
      </c>
      <c r="I17" s="140">
        <f>+I18</f>
        <v>2.0000000000000004</v>
      </c>
      <c r="J17" s="140">
        <f>+J18</f>
        <v>2.0000000000000004</v>
      </c>
      <c r="K17" s="140">
        <f>+K18</f>
        <v>0</v>
      </c>
      <c r="L17" s="156">
        <v>0</v>
      </c>
      <c r="M17" s="1"/>
      <c r="N17" s="1"/>
      <c r="O17" s="1"/>
    </row>
    <row r="18" spans="1:15" ht="54" customHeight="1">
      <c r="A18" s="55">
        <v>8</v>
      </c>
      <c r="B18" s="7"/>
      <c r="C18" s="70" t="s">
        <v>410</v>
      </c>
      <c r="D18" s="9"/>
      <c r="E18" s="151">
        <f t="shared" si="0"/>
        <v>2.8</v>
      </c>
      <c r="F18" s="151">
        <f t="shared" si="0"/>
        <v>2.7</v>
      </c>
      <c r="G18" s="151">
        <f>SUM(G20:G29)</f>
        <v>2.8</v>
      </c>
      <c r="H18" s="151">
        <f>SUM(H20:H29)</f>
        <v>2.7</v>
      </c>
      <c r="I18" s="151">
        <f>SUM(I20:I29)</f>
        <v>2.0000000000000004</v>
      </c>
      <c r="J18" s="151">
        <f>SUM(J20:J29)</f>
        <v>2.0000000000000004</v>
      </c>
      <c r="K18" s="151"/>
      <c r="L18" s="66"/>
      <c r="M18" s="1"/>
      <c r="N18" s="1"/>
      <c r="O18" s="1"/>
    </row>
    <row r="19" spans="1:15" ht="15.75" customHeight="1">
      <c r="A19" s="55">
        <v>9</v>
      </c>
      <c r="B19" s="7"/>
      <c r="C19" s="70" t="s">
        <v>41</v>
      </c>
      <c r="D19" s="9" t="s">
        <v>227</v>
      </c>
      <c r="E19" s="151"/>
      <c r="F19" s="151"/>
      <c r="G19" s="151"/>
      <c r="H19" s="151"/>
      <c r="I19" s="151"/>
      <c r="J19" s="151"/>
      <c r="K19" s="151"/>
      <c r="L19" s="66"/>
      <c r="M19" s="1"/>
      <c r="N19" s="1"/>
      <c r="O19" s="1"/>
    </row>
    <row r="20" spans="1:15" ht="27.75" customHeight="1">
      <c r="A20" s="55">
        <v>10</v>
      </c>
      <c r="B20" s="7"/>
      <c r="C20" s="61" t="s">
        <v>4</v>
      </c>
      <c r="D20" s="9"/>
      <c r="E20" s="77">
        <f>+G20+K20</f>
        <v>0.3</v>
      </c>
      <c r="F20" s="77">
        <f>+H20+L20</f>
        <v>0.3</v>
      </c>
      <c r="G20" s="77">
        <v>0.3</v>
      </c>
      <c r="H20" s="77">
        <v>0.3</v>
      </c>
      <c r="I20" s="77">
        <v>0.2</v>
      </c>
      <c r="J20" s="77">
        <v>0.2</v>
      </c>
      <c r="K20" s="77"/>
      <c r="L20" s="66"/>
      <c r="M20" s="1"/>
      <c r="N20" s="1"/>
      <c r="O20" s="1"/>
    </row>
    <row r="21" spans="1:15" ht="27.75" customHeight="1">
      <c r="A21" s="55">
        <v>11</v>
      </c>
      <c r="B21" s="7"/>
      <c r="C21" s="61" t="s">
        <v>5</v>
      </c>
      <c r="D21" s="9"/>
      <c r="E21" s="77">
        <f aca="true" t="shared" si="3" ref="E21:F29">+G21+K21</f>
        <v>0.2</v>
      </c>
      <c r="F21" s="77">
        <f t="shared" si="3"/>
        <v>0.2</v>
      </c>
      <c r="G21" s="77">
        <v>0.2</v>
      </c>
      <c r="H21" s="77">
        <v>0.2</v>
      </c>
      <c r="I21" s="77">
        <v>0.1</v>
      </c>
      <c r="J21" s="77">
        <v>0.1</v>
      </c>
      <c r="K21" s="77"/>
      <c r="L21" s="66"/>
      <c r="M21" s="1"/>
      <c r="N21" s="1"/>
      <c r="O21" s="1"/>
    </row>
    <row r="22" spans="1:15" ht="27.75" customHeight="1">
      <c r="A22" s="55">
        <v>12</v>
      </c>
      <c r="B22" s="7"/>
      <c r="C22" s="61" t="s">
        <v>7</v>
      </c>
      <c r="D22" s="9"/>
      <c r="E22" s="77">
        <f t="shared" si="3"/>
        <v>0.3</v>
      </c>
      <c r="F22" s="77">
        <f t="shared" si="3"/>
        <v>0.3</v>
      </c>
      <c r="G22" s="77">
        <v>0.3</v>
      </c>
      <c r="H22" s="77">
        <v>0.3</v>
      </c>
      <c r="I22" s="77">
        <v>0.2</v>
      </c>
      <c r="J22" s="77">
        <v>0.2</v>
      </c>
      <c r="K22" s="77"/>
      <c r="L22" s="66"/>
      <c r="M22" s="1"/>
      <c r="N22" s="1"/>
      <c r="O22" s="1"/>
    </row>
    <row r="23" spans="1:15" ht="27.75" customHeight="1">
      <c r="A23" s="55">
        <v>13</v>
      </c>
      <c r="B23" s="7"/>
      <c r="C23" s="61" t="s">
        <v>6</v>
      </c>
      <c r="D23" s="9"/>
      <c r="E23" s="77">
        <f t="shared" si="3"/>
        <v>0.5</v>
      </c>
      <c r="F23" s="77">
        <f t="shared" si="3"/>
        <v>0.5</v>
      </c>
      <c r="G23" s="77">
        <v>0.5</v>
      </c>
      <c r="H23" s="77">
        <v>0.5</v>
      </c>
      <c r="I23" s="77">
        <v>0.4</v>
      </c>
      <c r="J23" s="77">
        <v>0.4</v>
      </c>
      <c r="K23" s="77"/>
      <c r="L23" s="66"/>
      <c r="M23" s="1"/>
      <c r="N23" s="1"/>
      <c r="O23" s="1"/>
    </row>
    <row r="24" spans="1:15" ht="27.75" customHeight="1">
      <c r="A24" s="55">
        <v>14</v>
      </c>
      <c r="B24" s="7"/>
      <c r="C24" s="61" t="s">
        <v>9</v>
      </c>
      <c r="D24" s="9"/>
      <c r="E24" s="77">
        <f t="shared" si="3"/>
        <v>0.2</v>
      </c>
      <c r="F24" s="77">
        <f t="shared" si="3"/>
        <v>0.1</v>
      </c>
      <c r="G24" s="77">
        <v>0.2</v>
      </c>
      <c r="H24" s="77">
        <v>0.1</v>
      </c>
      <c r="I24" s="77">
        <v>0.1</v>
      </c>
      <c r="J24" s="77">
        <v>0.1</v>
      </c>
      <c r="K24" s="77"/>
      <c r="L24" s="66"/>
      <c r="M24" s="1"/>
      <c r="N24" s="1"/>
      <c r="O24" s="1"/>
    </row>
    <row r="25" spans="1:15" ht="27.75" customHeight="1">
      <c r="A25" s="55">
        <v>15</v>
      </c>
      <c r="B25" s="7"/>
      <c r="C25" s="64" t="s">
        <v>10</v>
      </c>
      <c r="D25" s="9"/>
      <c r="E25" s="77">
        <f t="shared" si="3"/>
        <v>0.3</v>
      </c>
      <c r="F25" s="77">
        <f t="shared" si="3"/>
        <v>0.3</v>
      </c>
      <c r="G25" s="77">
        <v>0.3</v>
      </c>
      <c r="H25" s="77">
        <v>0.3</v>
      </c>
      <c r="I25" s="77">
        <v>0.2</v>
      </c>
      <c r="J25" s="77">
        <v>0.2</v>
      </c>
      <c r="K25" s="77"/>
      <c r="L25" s="66"/>
      <c r="M25" s="1"/>
      <c r="N25" s="1"/>
      <c r="O25" s="1"/>
    </row>
    <row r="26" spans="1:15" ht="27.75" customHeight="1">
      <c r="A26" s="55">
        <v>16</v>
      </c>
      <c r="B26" s="7"/>
      <c r="C26" s="61" t="s">
        <v>12</v>
      </c>
      <c r="D26" s="9"/>
      <c r="E26" s="77">
        <f t="shared" si="3"/>
        <v>0.1</v>
      </c>
      <c r="F26" s="77">
        <f t="shared" si="3"/>
        <v>0.1</v>
      </c>
      <c r="G26" s="77">
        <v>0.1</v>
      </c>
      <c r="H26" s="77">
        <v>0.1</v>
      </c>
      <c r="I26" s="77">
        <v>0.1</v>
      </c>
      <c r="J26" s="77">
        <v>0.1</v>
      </c>
      <c r="K26" s="77"/>
      <c r="L26" s="66"/>
      <c r="M26" s="1"/>
      <c r="N26" s="1"/>
      <c r="O26" s="1"/>
    </row>
    <row r="27" spans="1:15" ht="27.75" customHeight="1">
      <c r="A27" s="55">
        <v>17</v>
      </c>
      <c r="B27" s="7"/>
      <c r="C27" s="61" t="s">
        <v>11</v>
      </c>
      <c r="D27" s="9"/>
      <c r="E27" s="77">
        <f t="shared" si="3"/>
        <v>0.1</v>
      </c>
      <c r="F27" s="77">
        <f t="shared" si="3"/>
        <v>0.1</v>
      </c>
      <c r="G27" s="77">
        <v>0.1</v>
      </c>
      <c r="H27" s="77">
        <v>0.1</v>
      </c>
      <c r="I27" s="77">
        <v>0.1</v>
      </c>
      <c r="J27" s="77">
        <v>0.1</v>
      </c>
      <c r="K27" s="77"/>
      <c r="L27" s="66"/>
      <c r="M27" s="1"/>
      <c r="N27" s="1"/>
      <c r="O27" s="1"/>
    </row>
    <row r="28" spans="1:15" ht="27.75" customHeight="1">
      <c r="A28" s="55">
        <v>18</v>
      </c>
      <c r="B28" s="7"/>
      <c r="C28" s="61" t="s">
        <v>13</v>
      </c>
      <c r="D28" s="9"/>
      <c r="E28" s="77">
        <f t="shared" si="3"/>
        <v>0.5</v>
      </c>
      <c r="F28" s="77">
        <f t="shared" si="3"/>
        <v>0.5</v>
      </c>
      <c r="G28" s="77">
        <v>0.5</v>
      </c>
      <c r="H28" s="77">
        <v>0.5</v>
      </c>
      <c r="I28" s="77">
        <v>0.4</v>
      </c>
      <c r="J28" s="77">
        <v>0.4</v>
      </c>
      <c r="K28" s="77"/>
      <c r="L28" s="66"/>
      <c r="M28" s="1"/>
      <c r="N28" s="1"/>
      <c r="O28" s="1"/>
    </row>
    <row r="29" spans="1:15" ht="27.75" customHeight="1">
      <c r="A29" s="55">
        <v>19</v>
      </c>
      <c r="B29" s="7"/>
      <c r="C29" s="61" t="s">
        <v>14</v>
      </c>
      <c r="D29" s="9"/>
      <c r="E29" s="77">
        <f t="shared" si="3"/>
        <v>0.3</v>
      </c>
      <c r="F29" s="77">
        <f t="shared" si="3"/>
        <v>0.3</v>
      </c>
      <c r="G29" s="77">
        <v>0.3</v>
      </c>
      <c r="H29" s="77">
        <v>0.3</v>
      </c>
      <c r="I29" s="77">
        <v>0.2</v>
      </c>
      <c r="J29" s="77">
        <v>0.2</v>
      </c>
      <c r="K29" s="77"/>
      <c r="L29" s="66"/>
      <c r="M29" s="1"/>
      <c r="N29" s="1"/>
      <c r="O29" s="1"/>
    </row>
    <row r="30" spans="1:15" ht="12.75" customHeight="1">
      <c r="A30" s="55">
        <v>20</v>
      </c>
      <c r="B30" s="84"/>
      <c r="C30" s="49" t="s">
        <v>20</v>
      </c>
      <c r="D30" s="87"/>
      <c r="E30" s="140">
        <f>+G30+K30</f>
        <v>2232.6000000000004</v>
      </c>
      <c r="F30" s="140">
        <f>+H30+L30</f>
        <v>2194.3</v>
      </c>
      <c r="G30" s="140">
        <f aca="true" t="shared" si="4" ref="G30:L30">+G11+G14+G17</f>
        <v>1348.1000000000001</v>
      </c>
      <c r="H30" s="140">
        <f t="shared" si="4"/>
        <v>1335.9</v>
      </c>
      <c r="I30" s="140">
        <f t="shared" si="4"/>
        <v>345</v>
      </c>
      <c r="J30" s="140">
        <f t="shared" si="4"/>
        <v>345</v>
      </c>
      <c r="K30" s="140">
        <f t="shared" si="4"/>
        <v>884.5</v>
      </c>
      <c r="L30" s="140">
        <f t="shared" si="4"/>
        <v>858.4</v>
      </c>
      <c r="M30" s="1"/>
      <c r="N30" s="1"/>
      <c r="O30" s="1"/>
    </row>
    <row r="31" spans="3:11" ht="12.75">
      <c r="C31" s="46" t="s">
        <v>194</v>
      </c>
      <c r="D31" s="47"/>
      <c r="E31" s="16"/>
      <c r="F31" s="16"/>
      <c r="G31" s="34"/>
      <c r="H31" s="34"/>
      <c r="I31" s="34"/>
      <c r="J31" s="34"/>
      <c r="K31" s="34"/>
    </row>
    <row r="32" spans="3:11" ht="12.75">
      <c r="C32" s="48"/>
      <c r="D32" s="47"/>
      <c r="E32" s="16"/>
      <c r="F32" s="16"/>
      <c r="G32" s="16"/>
      <c r="H32" s="16"/>
      <c r="I32" s="16"/>
      <c r="J32" s="16"/>
      <c r="K32" s="16"/>
    </row>
    <row r="33" spans="5:11" ht="12.75">
      <c r="E33" s="16"/>
      <c r="F33" s="16"/>
      <c r="G33" s="16"/>
      <c r="H33" s="16"/>
      <c r="I33" s="16"/>
      <c r="J33" s="16"/>
      <c r="K33" s="16"/>
    </row>
    <row r="34" spans="5:11" ht="12.75">
      <c r="E34" s="16"/>
      <c r="F34" s="16"/>
      <c r="G34" s="1"/>
      <c r="H34" s="1"/>
      <c r="I34" s="1"/>
      <c r="J34" s="1"/>
      <c r="K34" s="1"/>
    </row>
    <row r="35" spans="4:11" ht="12.75">
      <c r="D35" s="2"/>
      <c r="E35" s="62"/>
      <c r="F35" s="62"/>
      <c r="G35" s="1"/>
      <c r="H35" s="1"/>
      <c r="I35" s="1"/>
      <c r="J35" s="1"/>
      <c r="K35" s="1"/>
    </row>
    <row r="36" spans="4:11" ht="12.75">
      <c r="D36" s="2"/>
      <c r="E36" s="62"/>
      <c r="F36" s="62"/>
      <c r="G36" s="1"/>
      <c r="H36" s="1"/>
      <c r="I36" s="1"/>
      <c r="J36" s="1"/>
      <c r="K36" s="1"/>
    </row>
    <row r="37" spans="4:11" ht="12.75">
      <c r="D37" s="2"/>
      <c r="E37" s="62"/>
      <c r="F37" s="62"/>
      <c r="G37" s="1"/>
      <c r="H37" s="1"/>
      <c r="I37" s="1"/>
      <c r="J37" s="1"/>
      <c r="K37" s="1"/>
    </row>
    <row r="38" spans="4:11" ht="12.75">
      <c r="D38" s="2"/>
      <c r="E38" s="1"/>
      <c r="F38" s="1"/>
      <c r="G38" s="1"/>
      <c r="H38" s="1"/>
      <c r="I38" s="1"/>
      <c r="J38" s="1"/>
      <c r="K38" s="1"/>
    </row>
    <row r="39" spans="3:11" ht="12.75">
      <c r="C39" s="2"/>
      <c r="D39" s="2"/>
      <c r="E39" s="16"/>
      <c r="F39" s="16"/>
      <c r="G39" s="16"/>
      <c r="H39" s="16"/>
      <c r="I39" s="16"/>
      <c r="J39" s="16"/>
      <c r="K39" s="16"/>
    </row>
    <row r="40" spans="4:11" ht="12.75">
      <c r="D40" s="2"/>
      <c r="E40" s="16"/>
      <c r="F40" s="16"/>
      <c r="G40" s="2"/>
      <c r="H40" s="2"/>
      <c r="I40" s="2"/>
      <c r="J40" s="2"/>
      <c r="K40" s="2"/>
    </row>
    <row r="41" spans="4:11" ht="12.75">
      <c r="D41" s="2"/>
      <c r="E41" s="16"/>
      <c r="F41" s="16"/>
      <c r="G41" s="1"/>
      <c r="H41" s="1"/>
      <c r="I41" s="1"/>
      <c r="J41" s="1"/>
      <c r="K41" s="1"/>
    </row>
    <row r="42" spans="4:11" ht="12.75">
      <c r="D42" s="2"/>
      <c r="E42" s="1"/>
      <c r="F42" s="1"/>
      <c r="G42" s="1"/>
      <c r="H42" s="1"/>
      <c r="I42" s="1"/>
      <c r="J42" s="1"/>
      <c r="K42" s="1"/>
    </row>
    <row r="43" spans="4:11" ht="12.75">
      <c r="D43" s="2"/>
      <c r="E43" s="2"/>
      <c r="F43" s="2"/>
      <c r="G43" s="2"/>
      <c r="H43" s="2"/>
      <c r="I43" s="2"/>
      <c r="J43" s="2"/>
      <c r="K43" s="2"/>
    </row>
    <row r="44" spans="4:11" ht="12.75">
      <c r="D44" s="2"/>
      <c r="E44" s="1"/>
      <c r="F44" s="1"/>
      <c r="G44" s="1"/>
      <c r="H44" s="1"/>
      <c r="I44" s="1"/>
      <c r="J44" s="1"/>
      <c r="K44" s="1"/>
    </row>
    <row r="45" spans="4:11" ht="12.75">
      <c r="D45" s="2"/>
      <c r="E45" s="2"/>
      <c r="F45" s="2"/>
      <c r="G45" s="2"/>
      <c r="H45" s="2"/>
      <c r="I45" s="2"/>
      <c r="J45" s="2"/>
      <c r="K45" s="2"/>
    </row>
    <row r="46" spans="4:11" ht="12.75">
      <c r="D46" s="2"/>
      <c r="E46" s="2"/>
      <c r="F46" s="2"/>
      <c r="G46" s="2"/>
      <c r="H46" s="2"/>
      <c r="I46" s="2"/>
      <c r="J46" s="2"/>
      <c r="K46" s="2"/>
    </row>
  </sheetData>
  <sheetProtection/>
  <mergeCells count="20">
    <mergeCell ref="B6:B9"/>
    <mergeCell ref="C6:C9"/>
    <mergeCell ref="D6:D9"/>
    <mergeCell ref="L8:L9"/>
    <mergeCell ref="E8:E9"/>
    <mergeCell ref="F8:F9"/>
    <mergeCell ref="G8:G9"/>
    <mergeCell ref="H8:H9"/>
    <mergeCell ref="I8:J8"/>
    <mergeCell ref="K8:K9"/>
    <mergeCell ref="K3:L3"/>
    <mergeCell ref="E2:L2"/>
    <mergeCell ref="C1:L1"/>
    <mergeCell ref="K5:L5"/>
    <mergeCell ref="E6:F7"/>
    <mergeCell ref="G6:L6"/>
    <mergeCell ref="G7:J7"/>
    <mergeCell ref="K7:L7"/>
    <mergeCell ref="A4:L4"/>
    <mergeCell ref="A6:A9"/>
  </mergeCells>
  <printOptions/>
  <pageMargins left="0.7086614173228347" right="0.7086614173228347" top="0.3937007874015748" bottom="0.3937007874015748"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P41"/>
  <sheetViews>
    <sheetView zoomScalePageLayoutView="0" workbookViewId="0" topLeftCell="A1">
      <selection activeCell="N26" sqref="N26"/>
    </sheetView>
  </sheetViews>
  <sheetFormatPr defaultColWidth="9.140625" defaultRowHeight="12.75"/>
  <cols>
    <col min="1" max="1" width="4.57421875" style="2" customWidth="1"/>
    <col min="2" max="2" width="5.140625" style="44" customWidth="1"/>
    <col min="3" max="3" width="41.421875" style="44" customWidth="1"/>
    <col min="4" max="4" width="9.8515625" style="5" customWidth="1"/>
    <col min="5" max="8" width="9.421875" style="5" customWidth="1"/>
    <col min="9" max="10" width="9.00390625" style="5" customWidth="1"/>
    <col min="11" max="11" width="7.57421875" style="5" customWidth="1"/>
    <col min="12" max="16384" width="9.140625" style="2" customWidth="1"/>
  </cols>
  <sheetData>
    <row r="1" spans="3:12" ht="15.75">
      <c r="C1" s="216" t="s">
        <v>654</v>
      </c>
      <c r="D1" s="217"/>
      <c r="E1" s="217"/>
      <c r="F1" s="217"/>
      <c r="G1" s="217"/>
      <c r="H1" s="217"/>
      <c r="I1" s="217"/>
      <c r="J1" s="217"/>
      <c r="K1" s="217"/>
      <c r="L1" s="244"/>
    </row>
    <row r="2" spans="3:12" ht="15.75">
      <c r="C2" s="216" t="s">
        <v>664</v>
      </c>
      <c r="D2" s="217"/>
      <c r="E2" s="217"/>
      <c r="F2" s="217"/>
      <c r="G2" s="217"/>
      <c r="H2" s="217"/>
      <c r="I2" s="217"/>
      <c r="J2" s="217"/>
      <c r="K2" s="217"/>
      <c r="L2" s="218"/>
    </row>
    <row r="3" spans="5:12" ht="15.75">
      <c r="E3" s="216" t="s">
        <v>665</v>
      </c>
      <c r="F3" s="217"/>
      <c r="G3" s="217"/>
      <c r="H3" s="217"/>
      <c r="I3" s="217"/>
      <c r="J3" s="217"/>
      <c r="K3" s="217"/>
      <c r="L3" s="218"/>
    </row>
    <row r="4" spans="1:12" ht="35.25" customHeight="1">
      <c r="A4" s="252" t="s">
        <v>415</v>
      </c>
      <c r="B4" s="252"/>
      <c r="C4" s="252"/>
      <c r="D4" s="252"/>
      <c r="E4" s="252"/>
      <c r="F4" s="252"/>
      <c r="G4" s="252"/>
      <c r="H4" s="252"/>
      <c r="I4" s="252"/>
      <c r="J4" s="252"/>
      <c r="K4" s="252"/>
      <c r="L4" s="252"/>
    </row>
    <row r="5" spans="1:12" ht="12.75">
      <c r="A5" s="27"/>
      <c r="B5" s="45"/>
      <c r="C5" s="45"/>
      <c r="D5" s="29"/>
      <c r="E5" s="29"/>
      <c r="F5" s="29"/>
      <c r="G5" s="29"/>
      <c r="H5" s="29"/>
      <c r="I5" s="29"/>
      <c r="J5" s="259" t="s">
        <v>256</v>
      </c>
      <c r="K5" s="220"/>
      <c r="L5" s="220"/>
    </row>
    <row r="6" spans="1:12" ht="12.75" customHeight="1">
      <c r="A6" s="234" t="s">
        <v>0</v>
      </c>
      <c r="B6" s="234" t="s">
        <v>649</v>
      </c>
      <c r="C6" s="234" t="s">
        <v>16</v>
      </c>
      <c r="D6" s="234" t="s">
        <v>100</v>
      </c>
      <c r="E6" s="227" t="s">
        <v>17</v>
      </c>
      <c r="F6" s="228"/>
      <c r="G6" s="221" t="s">
        <v>18</v>
      </c>
      <c r="H6" s="226"/>
      <c r="I6" s="226"/>
      <c r="J6" s="226"/>
      <c r="K6" s="226"/>
      <c r="L6" s="222"/>
    </row>
    <row r="7" spans="1:12" ht="12.75" customHeight="1">
      <c r="A7" s="234"/>
      <c r="B7" s="234"/>
      <c r="C7" s="234"/>
      <c r="D7" s="234"/>
      <c r="E7" s="229"/>
      <c r="F7" s="230"/>
      <c r="G7" s="221" t="s">
        <v>156</v>
      </c>
      <c r="H7" s="226"/>
      <c r="I7" s="226"/>
      <c r="J7" s="222"/>
      <c r="K7" s="221" t="s">
        <v>29</v>
      </c>
      <c r="L7" s="222"/>
    </row>
    <row r="8" spans="1:12" ht="25.5" customHeight="1">
      <c r="A8" s="234"/>
      <c r="B8" s="234"/>
      <c r="C8" s="234"/>
      <c r="D8" s="234"/>
      <c r="E8" s="223" t="s">
        <v>650</v>
      </c>
      <c r="F8" s="223" t="s">
        <v>651</v>
      </c>
      <c r="G8" s="223" t="s">
        <v>650</v>
      </c>
      <c r="H8" s="223" t="s">
        <v>651</v>
      </c>
      <c r="I8" s="221" t="s">
        <v>30</v>
      </c>
      <c r="J8" s="222"/>
      <c r="K8" s="223" t="s">
        <v>650</v>
      </c>
      <c r="L8" s="223" t="s">
        <v>651</v>
      </c>
    </row>
    <row r="9" spans="1:12" ht="16.5" customHeight="1">
      <c r="A9" s="234"/>
      <c r="B9" s="234"/>
      <c r="C9" s="234"/>
      <c r="D9" s="234"/>
      <c r="E9" s="224"/>
      <c r="F9" s="224"/>
      <c r="G9" s="224"/>
      <c r="H9" s="224"/>
      <c r="I9" s="42" t="s">
        <v>650</v>
      </c>
      <c r="J9" s="6" t="s">
        <v>651</v>
      </c>
      <c r="K9" s="224"/>
      <c r="L9" s="224"/>
    </row>
    <row r="10" spans="1:15" s="14" customFormat="1" ht="12.75" customHeight="1">
      <c r="A10" s="6">
        <v>1</v>
      </c>
      <c r="B10" s="6">
        <v>2</v>
      </c>
      <c r="C10" s="6">
        <v>3</v>
      </c>
      <c r="D10" s="6">
        <v>4</v>
      </c>
      <c r="E10" s="6">
        <v>5</v>
      </c>
      <c r="F10" s="6">
        <v>6</v>
      </c>
      <c r="G10" s="6">
        <v>7</v>
      </c>
      <c r="H10" s="6">
        <v>8</v>
      </c>
      <c r="I10" s="6">
        <v>9</v>
      </c>
      <c r="J10" s="6">
        <v>10</v>
      </c>
      <c r="K10" s="6">
        <v>11</v>
      </c>
      <c r="L10" s="31">
        <v>12</v>
      </c>
      <c r="M10" s="2"/>
      <c r="N10" s="2"/>
      <c r="O10" s="2"/>
    </row>
    <row r="11" spans="1:15" s="14" customFormat="1" ht="16.5" customHeight="1">
      <c r="A11" s="55">
        <v>1</v>
      </c>
      <c r="B11" s="7" t="s">
        <v>129</v>
      </c>
      <c r="C11" s="10" t="s">
        <v>130</v>
      </c>
      <c r="D11" s="6"/>
      <c r="E11" s="147">
        <f aca="true" t="shared" si="0" ref="E11:F21">+G11+K11</f>
        <v>10.299999999999999</v>
      </c>
      <c r="F11" s="147">
        <f t="shared" si="0"/>
        <v>7</v>
      </c>
      <c r="G11" s="147">
        <f aca="true" t="shared" si="1" ref="G11:L11">+G12</f>
        <v>2.6999999999999997</v>
      </c>
      <c r="H11" s="147">
        <f t="shared" si="1"/>
        <v>1</v>
      </c>
      <c r="I11" s="147">
        <f t="shared" si="1"/>
        <v>0</v>
      </c>
      <c r="J11" s="147">
        <f t="shared" si="1"/>
        <v>0</v>
      </c>
      <c r="K11" s="147">
        <f t="shared" si="1"/>
        <v>7.6</v>
      </c>
      <c r="L11" s="147">
        <f t="shared" si="1"/>
        <v>6</v>
      </c>
      <c r="M11" s="1"/>
      <c r="N11" s="2"/>
      <c r="O11" s="2"/>
    </row>
    <row r="12" spans="1:12" ht="18" customHeight="1">
      <c r="A12" s="55">
        <v>2</v>
      </c>
      <c r="B12" s="7"/>
      <c r="C12" s="35" t="s">
        <v>416</v>
      </c>
      <c r="D12" s="81" t="s">
        <v>358</v>
      </c>
      <c r="E12" s="99">
        <f t="shared" si="0"/>
        <v>10.299999999999999</v>
      </c>
      <c r="F12" s="99">
        <f t="shared" si="0"/>
        <v>7</v>
      </c>
      <c r="G12" s="99">
        <f aca="true" t="shared" si="2" ref="G12:L12">+G14</f>
        <v>2.6999999999999997</v>
      </c>
      <c r="H12" s="99">
        <f t="shared" si="2"/>
        <v>1</v>
      </c>
      <c r="I12" s="99"/>
      <c r="J12" s="99"/>
      <c r="K12" s="99">
        <f t="shared" si="2"/>
        <v>7.6</v>
      </c>
      <c r="L12" s="99">
        <f t="shared" si="2"/>
        <v>6</v>
      </c>
    </row>
    <row r="13" spans="1:12" s="118" customFormat="1" ht="11.25" customHeight="1">
      <c r="A13" s="119"/>
      <c r="B13" s="120"/>
      <c r="C13" s="122" t="s">
        <v>121</v>
      </c>
      <c r="D13" s="121"/>
      <c r="E13" s="123"/>
      <c r="F13" s="123"/>
      <c r="G13" s="123"/>
      <c r="H13" s="123"/>
      <c r="I13" s="123"/>
      <c r="J13" s="123"/>
      <c r="K13" s="123"/>
      <c r="L13" s="148"/>
    </row>
    <row r="14" spans="1:15" s="14" customFormat="1" ht="27.75" customHeight="1">
      <c r="A14" s="55" t="s">
        <v>582</v>
      </c>
      <c r="B14" s="9"/>
      <c r="C14" s="64" t="s">
        <v>312</v>
      </c>
      <c r="D14" s="92"/>
      <c r="E14" s="99">
        <f t="shared" si="0"/>
        <v>10.299999999999999</v>
      </c>
      <c r="F14" s="99">
        <f t="shared" si="0"/>
        <v>7</v>
      </c>
      <c r="G14" s="99">
        <f>0.3+2.4</f>
        <v>2.6999999999999997</v>
      </c>
      <c r="H14" s="99">
        <v>1</v>
      </c>
      <c r="I14" s="99"/>
      <c r="J14" s="99"/>
      <c r="K14" s="99">
        <f>10-2.4</f>
        <v>7.6</v>
      </c>
      <c r="L14" s="149">
        <v>6</v>
      </c>
      <c r="M14" s="1"/>
      <c r="N14" s="2"/>
      <c r="O14" s="2"/>
    </row>
    <row r="15" spans="1:12" ht="30.75" customHeight="1">
      <c r="A15" s="55">
        <v>3</v>
      </c>
      <c r="B15" s="7" t="s">
        <v>177</v>
      </c>
      <c r="C15" s="68" t="s">
        <v>178</v>
      </c>
      <c r="D15" s="9"/>
      <c r="E15" s="100">
        <f t="shared" si="0"/>
        <v>55.4</v>
      </c>
      <c r="F15" s="100">
        <f t="shared" si="0"/>
        <v>39.2</v>
      </c>
      <c r="G15" s="100">
        <f aca="true" t="shared" si="3" ref="G15:L15">+G16</f>
        <v>0.9</v>
      </c>
      <c r="H15" s="100">
        <f t="shared" si="3"/>
        <v>0.2</v>
      </c>
      <c r="I15" s="100">
        <f t="shared" si="3"/>
        <v>0</v>
      </c>
      <c r="J15" s="100">
        <f t="shared" si="3"/>
        <v>0</v>
      </c>
      <c r="K15" s="100">
        <f t="shared" si="3"/>
        <v>54.5</v>
      </c>
      <c r="L15" s="100">
        <f t="shared" si="3"/>
        <v>39</v>
      </c>
    </row>
    <row r="16" spans="1:12" ht="18" customHeight="1">
      <c r="A16" s="55">
        <v>4</v>
      </c>
      <c r="B16" s="7"/>
      <c r="C16" s="35" t="s">
        <v>416</v>
      </c>
      <c r="D16" s="9"/>
      <c r="E16" s="99">
        <f t="shared" si="0"/>
        <v>55.4</v>
      </c>
      <c r="F16" s="99">
        <f t="shared" si="0"/>
        <v>39.2</v>
      </c>
      <c r="G16" s="99">
        <f aca="true" t="shared" si="4" ref="G16:L16">+G18+G19</f>
        <v>0.9</v>
      </c>
      <c r="H16" s="99">
        <f t="shared" si="4"/>
        <v>0.2</v>
      </c>
      <c r="I16" s="99"/>
      <c r="J16" s="99"/>
      <c r="K16" s="99">
        <f t="shared" si="4"/>
        <v>54.5</v>
      </c>
      <c r="L16" s="99">
        <f t="shared" si="4"/>
        <v>39</v>
      </c>
    </row>
    <row r="17" spans="1:12" ht="12.75" customHeight="1">
      <c r="A17" s="55"/>
      <c r="B17" s="7"/>
      <c r="C17" s="35" t="s">
        <v>121</v>
      </c>
      <c r="D17" s="9"/>
      <c r="E17" s="99"/>
      <c r="F17" s="99"/>
      <c r="G17" s="99"/>
      <c r="H17" s="99"/>
      <c r="I17" s="99"/>
      <c r="J17" s="99"/>
      <c r="K17" s="99"/>
      <c r="L17" s="149"/>
    </row>
    <row r="18" spans="1:12" ht="18" customHeight="1">
      <c r="A18" s="55" t="s">
        <v>555</v>
      </c>
      <c r="B18" s="7"/>
      <c r="C18" s="102" t="s">
        <v>638</v>
      </c>
      <c r="D18" s="9" t="s">
        <v>207</v>
      </c>
      <c r="E18" s="99">
        <f t="shared" si="0"/>
        <v>35.4</v>
      </c>
      <c r="F18" s="99">
        <f t="shared" si="0"/>
        <v>31.900000000000002</v>
      </c>
      <c r="G18" s="99">
        <f>0.4+0.1</f>
        <v>0.5</v>
      </c>
      <c r="H18" s="99">
        <v>0.1</v>
      </c>
      <c r="I18" s="99"/>
      <c r="J18" s="99"/>
      <c r="K18" s="99">
        <f>35.6-0.1-0.6</f>
        <v>34.9</v>
      </c>
      <c r="L18" s="149">
        <v>31.8</v>
      </c>
    </row>
    <row r="19" spans="1:12" ht="41.25" customHeight="1">
      <c r="A19" s="253" t="s">
        <v>556</v>
      </c>
      <c r="B19" s="255"/>
      <c r="C19" s="39" t="s">
        <v>320</v>
      </c>
      <c r="D19" s="257" t="s">
        <v>360</v>
      </c>
      <c r="E19" s="99">
        <f t="shared" si="0"/>
        <v>20</v>
      </c>
      <c r="F19" s="99">
        <f t="shared" si="0"/>
        <v>7.3</v>
      </c>
      <c r="G19" s="99">
        <f>0.2+0.2</f>
        <v>0.4</v>
      </c>
      <c r="H19" s="99">
        <v>0.1</v>
      </c>
      <c r="I19" s="99"/>
      <c r="J19" s="99"/>
      <c r="K19" s="99">
        <f>9.8+9.8</f>
        <v>19.6</v>
      </c>
      <c r="L19" s="149">
        <v>7.2</v>
      </c>
    </row>
    <row r="20" spans="1:12" ht="24.75" customHeight="1">
      <c r="A20" s="254"/>
      <c r="B20" s="256"/>
      <c r="C20" s="39" t="s">
        <v>648</v>
      </c>
      <c r="D20" s="258"/>
      <c r="E20" s="99">
        <f t="shared" si="0"/>
        <v>10</v>
      </c>
      <c r="F20" s="99">
        <f t="shared" si="0"/>
        <v>0</v>
      </c>
      <c r="G20" s="99">
        <v>0.2</v>
      </c>
      <c r="H20" s="99">
        <v>0</v>
      </c>
      <c r="I20" s="99"/>
      <c r="J20" s="99"/>
      <c r="K20" s="99">
        <v>9.8</v>
      </c>
      <c r="L20" s="149">
        <v>0</v>
      </c>
    </row>
    <row r="21" spans="1:12" ht="26.25" customHeight="1">
      <c r="A21" s="55">
        <v>5</v>
      </c>
      <c r="B21" s="7" t="s">
        <v>135</v>
      </c>
      <c r="C21" s="74" t="s">
        <v>136</v>
      </c>
      <c r="D21" s="17"/>
      <c r="E21" s="100">
        <f t="shared" si="0"/>
        <v>0</v>
      </c>
      <c r="F21" s="100">
        <f t="shared" si="0"/>
        <v>0</v>
      </c>
      <c r="G21" s="100">
        <f>+G22</f>
        <v>0</v>
      </c>
      <c r="H21" s="100">
        <v>0</v>
      </c>
      <c r="I21" s="100">
        <f>+I22</f>
        <v>0</v>
      </c>
      <c r="J21" s="100">
        <v>0</v>
      </c>
      <c r="K21" s="100">
        <f>+K22</f>
        <v>0</v>
      </c>
      <c r="L21" s="161">
        <v>0</v>
      </c>
    </row>
    <row r="22" spans="1:12" ht="12" customHeight="1">
      <c r="A22" s="55">
        <v>6</v>
      </c>
      <c r="B22" s="7"/>
      <c r="C22" s="35" t="s">
        <v>416</v>
      </c>
      <c r="D22" s="17"/>
      <c r="E22" s="99">
        <f>+G22+K22</f>
        <v>0</v>
      </c>
      <c r="F22" s="99">
        <f>+H22+L22</f>
        <v>0</v>
      </c>
      <c r="G22" s="99">
        <f>+G24</f>
        <v>0</v>
      </c>
      <c r="H22" s="99">
        <v>0</v>
      </c>
      <c r="I22" s="99"/>
      <c r="J22" s="99"/>
      <c r="K22" s="99">
        <f>+K24</f>
        <v>0</v>
      </c>
      <c r="L22" s="149">
        <v>0</v>
      </c>
    </row>
    <row r="23" spans="1:12" ht="12.75" customHeight="1">
      <c r="A23" s="55"/>
      <c r="B23" s="7"/>
      <c r="C23" s="35" t="s">
        <v>121</v>
      </c>
      <c r="D23" s="17"/>
      <c r="E23" s="99"/>
      <c r="F23" s="99"/>
      <c r="G23" s="99"/>
      <c r="H23" s="99"/>
      <c r="I23" s="99"/>
      <c r="J23" s="99"/>
      <c r="K23" s="99"/>
      <c r="L23" s="149"/>
    </row>
    <row r="24" spans="1:12" ht="37.5" customHeight="1">
      <c r="A24" s="55" t="s">
        <v>557</v>
      </c>
      <c r="B24" s="7"/>
      <c r="C24" s="164" t="s">
        <v>653</v>
      </c>
      <c r="D24" s="17"/>
      <c r="E24" s="99">
        <f>+G24+K24</f>
        <v>0</v>
      </c>
      <c r="F24" s="99">
        <f>+H24+L24</f>
        <v>0</v>
      </c>
      <c r="G24" s="99">
        <f>0.5-0.5</f>
        <v>0</v>
      </c>
      <c r="H24" s="99">
        <v>0</v>
      </c>
      <c r="I24" s="99"/>
      <c r="J24" s="99"/>
      <c r="K24" s="99">
        <f>29.5-29.5</f>
        <v>0</v>
      </c>
      <c r="L24" s="149">
        <v>0</v>
      </c>
    </row>
    <row r="25" spans="1:16" ht="12.75" customHeight="1">
      <c r="A25" s="55">
        <v>7</v>
      </c>
      <c r="B25" s="84"/>
      <c r="C25" s="49" t="s">
        <v>20</v>
      </c>
      <c r="D25" s="87"/>
      <c r="E25" s="100">
        <f>+G25+K25</f>
        <v>65.7</v>
      </c>
      <c r="F25" s="100">
        <f>+H25+L25</f>
        <v>46.2</v>
      </c>
      <c r="G25" s="100">
        <f aca="true" t="shared" si="5" ref="G25:L25">+G11+G15+G21</f>
        <v>3.5999999999999996</v>
      </c>
      <c r="H25" s="100">
        <f t="shared" si="5"/>
        <v>1.2</v>
      </c>
      <c r="I25" s="100">
        <f t="shared" si="5"/>
        <v>0</v>
      </c>
      <c r="J25" s="100">
        <f t="shared" si="5"/>
        <v>0</v>
      </c>
      <c r="K25" s="100">
        <f t="shared" si="5"/>
        <v>62.1</v>
      </c>
      <c r="L25" s="100">
        <f t="shared" si="5"/>
        <v>45</v>
      </c>
      <c r="M25" s="1"/>
      <c r="N25" s="1"/>
      <c r="O25" s="1"/>
      <c r="P25" s="1"/>
    </row>
    <row r="26" spans="3:11" ht="12.75">
      <c r="C26" s="46" t="s">
        <v>194</v>
      </c>
      <c r="D26" s="47"/>
      <c r="E26" s="16"/>
      <c r="F26" s="16"/>
      <c r="G26" s="34"/>
      <c r="H26" s="34"/>
      <c r="I26" s="34"/>
      <c r="J26" s="34"/>
      <c r="K26" s="34"/>
    </row>
    <row r="27" spans="3:11" ht="12.75">
      <c r="C27" s="48"/>
      <c r="D27" s="47"/>
      <c r="E27" s="16"/>
      <c r="F27" s="16"/>
      <c r="G27" s="16"/>
      <c r="H27" s="16"/>
      <c r="I27" s="16"/>
      <c r="J27" s="16"/>
      <c r="K27" s="16"/>
    </row>
    <row r="28" spans="5:12" ht="12.75">
      <c r="E28" s="16"/>
      <c r="F28" s="16"/>
      <c r="G28" s="16"/>
      <c r="H28" s="16"/>
      <c r="I28" s="16"/>
      <c r="J28" s="16"/>
      <c r="K28" s="16"/>
      <c r="L28" s="16"/>
    </row>
    <row r="29" spans="5:11" ht="12.75">
      <c r="E29" s="16"/>
      <c r="F29" s="16"/>
      <c r="G29" s="1"/>
      <c r="H29" s="1"/>
      <c r="I29" s="1"/>
      <c r="J29" s="1"/>
      <c r="K29" s="1"/>
    </row>
    <row r="30" spans="4:11" ht="12.75">
      <c r="D30" s="2"/>
      <c r="E30" s="62"/>
      <c r="F30" s="1"/>
      <c r="G30" s="1"/>
      <c r="H30" s="1"/>
      <c r="I30" s="1"/>
      <c r="J30" s="1"/>
      <c r="K30" s="1"/>
    </row>
    <row r="31" spans="4:11" ht="12.75">
      <c r="D31" s="2"/>
      <c r="E31" s="62"/>
      <c r="F31" s="62"/>
      <c r="G31" s="1"/>
      <c r="H31" s="1"/>
      <c r="I31" s="1"/>
      <c r="J31" s="1"/>
      <c r="K31" s="1"/>
    </row>
    <row r="32" spans="4:12" ht="12.75">
      <c r="D32" s="2"/>
      <c r="E32" s="62"/>
      <c r="F32" s="1"/>
      <c r="G32" s="1"/>
      <c r="H32" s="1"/>
      <c r="I32" s="1"/>
      <c r="J32" s="1"/>
      <c r="K32" s="1"/>
      <c r="L32" s="1"/>
    </row>
    <row r="33" spans="4:11" ht="12.75">
      <c r="D33" s="2"/>
      <c r="E33" s="1"/>
      <c r="F33" s="1"/>
      <c r="G33" s="1"/>
      <c r="H33" s="1"/>
      <c r="I33" s="1"/>
      <c r="J33" s="1"/>
      <c r="K33" s="1"/>
    </row>
    <row r="34" spans="3:11" ht="12.75">
      <c r="C34" s="2"/>
      <c r="D34" s="2"/>
      <c r="E34" s="16"/>
      <c r="F34" s="16"/>
      <c r="G34" s="16"/>
      <c r="H34" s="16"/>
      <c r="I34" s="16"/>
      <c r="J34" s="16"/>
      <c r="K34" s="16"/>
    </row>
    <row r="35" spans="4:11" ht="12.75">
      <c r="D35" s="2"/>
      <c r="E35" s="16"/>
      <c r="F35" s="16"/>
      <c r="G35" s="2"/>
      <c r="H35" s="2"/>
      <c r="I35" s="2"/>
      <c r="J35" s="2"/>
      <c r="K35" s="2"/>
    </row>
    <row r="36" spans="4:11" ht="12.75">
      <c r="D36" s="2"/>
      <c r="E36" s="16"/>
      <c r="F36" s="16"/>
      <c r="G36" s="1"/>
      <c r="H36" s="1"/>
      <c r="I36" s="1"/>
      <c r="J36" s="1"/>
      <c r="K36" s="1"/>
    </row>
    <row r="37" spans="4:11" ht="12.75">
      <c r="D37" s="2"/>
      <c r="E37" s="1"/>
      <c r="F37" s="1"/>
      <c r="G37" s="1"/>
      <c r="H37" s="1"/>
      <c r="I37" s="1"/>
      <c r="J37" s="1"/>
      <c r="K37" s="1"/>
    </row>
    <row r="38" spans="4:11" ht="12.75">
      <c r="D38" s="2"/>
      <c r="E38" s="2"/>
      <c r="F38" s="2"/>
      <c r="G38" s="2"/>
      <c r="H38" s="2"/>
      <c r="I38" s="2"/>
      <c r="J38" s="2"/>
      <c r="K38" s="2"/>
    </row>
    <row r="39" spans="4:11" ht="12.75">
      <c r="D39" s="2"/>
      <c r="E39" s="1"/>
      <c r="F39" s="1"/>
      <c r="G39" s="1"/>
      <c r="H39" s="1"/>
      <c r="I39" s="1"/>
      <c r="J39" s="1"/>
      <c r="K39" s="1"/>
    </row>
    <row r="40" spans="4:11" ht="12.75">
      <c r="D40" s="2"/>
      <c r="E40" s="2"/>
      <c r="F40" s="2"/>
      <c r="G40" s="2"/>
      <c r="H40" s="2"/>
      <c r="I40" s="2"/>
      <c r="J40" s="2"/>
      <c r="K40" s="2"/>
    </row>
    <row r="41" spans="4:11" ht="12.75">
      <c r="D41" s="2"/>
      <c r="E41" s="2"/>
      <c r="F41" s="2"/>
      <c r="G41" s="2"/>
      <c r="H41" s="2"/>
      <c r="I41" s="2"/>
      <c r="J41" s="2"/>
      <c r="K41" s="2"/>
    </row>
  </sheetData>
  <sheetProtection/>
  <mergeCells count="23">
    <mergeCell ref="E8:E9"/>
    <mergeCell ref="F8:F9"/>
    <mergeCell ref="G8:G9"/>
    <mergeCell ref="H8:H9"/>
    <mergeCell ref="I8:J8"/>
    <mergeCell ref="K8:K9"/>
    <mergeCell ref="E3:L3"/>
    <mergeCell ref="C2:L2"/>
    <mergeCell ref="C1:L1"/>
    <mergeCell ref="J5:L5"/>
    <mergeCell ref="L8:L9"/>
    <mergeCell ref="E6:F7"/>
    <mergeCell ref="G6:L6"/>
    <mergeCell ref="A4:L4"/>
    <mergeCell ref="G7:J7"/>
    <mergeCell ref="K7:L7"/>
    <mergeCell ref="A19:A20"/>
    <mergeCell ref="B19:B20"/>
    <mergeCell ref="D19:D20"/>
    <mergeCell ref="A6:A9"/>
    <mergeCell ref="B6:B9"/>
    <mergeCell ref="C6:C9"/>
    <mergeCell ref="D6:D9"/>
  </mergeCells>
  <printOptions/>
  <pageMargins left="0.5118110236220472" right="0" top="0.3937007874015748" bottom="0.3937007874015748"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Q66"/>
  <sheetViews>
    <sheetView zoomScalePageLayoutView="0" workbookViewId="0" topLeftCell="A1">
      <selection activeCell="C23" sqref="C23"/>
    </sheetView>
  </sheetViews>
  <sheetFormatPr defaultColWidth="9.140625" defaultRowHeight="12.75"/>
  <cols>
    <col min="1" max="1" width="4.421875" style="2" customWidth="1"/>
    <col min="2" max="2" width="5.57421875" style="2" customWidth="1"/>
    <col min="3" max="3" width="51.57421875" style="2" customWidth="1"/>
    <col min="4" max="4" width="10.421875" style="5" customWidth="1"/>
    <col min="5" max="5" width="7.140625" style="2" customWidth="1"/>
    <col min="6" max="6" width="8.140625" style="2" customWidth="1"/>
    <col min="7" max="7" width="6.57421875" style="2" customWidth="1"/>
    <col min="8" max="8" width="7.8515625" style="2" customWidth="1"/>
    <col min="9" max="10" width="8.421875" style="2" customWidth="1"/>
    <col min="11" max="11" width="7.00390625" style="2" customWidth="1"/>
    <col min="12" max="12" width="9.00390625" style="2" customWidth="1"/>
    <col min="13" max="13" width="7.00390625" style="2" customWidth="1"/>
    <col min="14" max="14" width="9.140625" style="2" customWidth="1"/>
    <col min="15" max="16384" width="9.140625" style="2" customWidth="1"/>
  </cols>
  <sheetData>
    <row r="1" spans="3:12" ht="15" customHeight="1">
      <c r="C1" s="216" t="s">
        <v>654</v>
      </c>
      <c r="D1" s="217"/>
      <c r="E1" s="217"/>
      <c r="F1" s="217"/>
      <c r="G1" s="217"/>
      <c r="H1" s="217"/>
      <c r="I1" s="217"/>
      <c r="J1" s="217"/>
      <c r="K1" s="217"/>
      <c r="L1" s="244"/>
    </row>
    <row r="2" spans="3:12" ht="15.75">
      <c r="C2" s="216" t="s">
        <v>656</v>
      </c>
      <c r="D2" s="217"/>
      <c r="E2" s="217"/>
      <c r="F2" s="217"/>
      <c r="G2" s="217"/>
      <c r="H2" s="217"/>
      <c r="I2" s="217"/>
      <c r="J2" s="217"/>
      <c r="K2" s="217"/>
      <c r="L2" s="244"/>
    </row>
    <row r="3" spans="3:12" ht="15.75">
      <c r="C3" s="57"/>
      <c r="D3" s="26"/>
      <c r="E3" s="57"/>
      <c r="F3" s="57"/>
      <c r="G3" s="57"/>
      <c r="H3" s="57"/>
      <c r="I3" s="217" t="s">
        <v>657</v>
      </c>
      <c r="J3" s="217"/>
      <c r="K3" s="217"/>
      <c r="L3" s="218"/>
    </row>
    <row r="4" spans="1:11" ht="14.25" customHeight="1">
      <c r="A4" s="246" t="s">
        <v>275</v>
      </c>
      <c r="B4" s="246"/>
      <c r="C4" s="246"/>
      <c r="D4" s="246"/>
      <c r="E4" s="246"/>
      <c r="F4" s="246"/>
      <c r="G4" s="246"/>
      <c r="H4" s="246"/>
      <c r="I4" s="246"/>
      <c r="J4" s="246"/>
      <c r="K4" s="246"/>
    </row>
    <row r="5" spans="10:12" ht="12.75">
      <c r="J5" s="219" t="s">
        <v>256</v>
      </c>
      <c r="K5" s="245"/>
      <c r="L5" s="245"/>
    </row>
    <row r="6" spans="1:12" ht="12.75" customHeight="1">
      <c r="A6" s="234" t="s">
        <v>0</v>
      </c>
      <c r="B6" s="234" t="s">
        <v>649</v>
      </c>
      <c r="C6" s="234" t="s">
        <v>16</v>
      </c>
      <c r="D6" s="234" t="s">
        <v>100</v>
      </c>
      <c r="E6" s="227" t="s">
        <v>17</v>
      </c>
      <c r="F6" s="228"/>
      <c r="G6" s="221" t="s">
        <v>18</v>
      </c>
      <c r="H6" s="226"/>
      <c r="I6" s="226"/>
      <c r="J6" s="226"/>
      <c r="K6" s="226"/>
      <c r="L6" s="222"/>
    </row>
    <row r="7" spans="1:12" ht="12.75" customHeight="1">
      <c r="A7" s="234"/>
      <c r="B7" s="234"/>
      <c r="C7" s="234"/>
      <c r="D7" s="234"/>
      <c r="E7" s="229"/>
      <c r="F7" s="230"/>
      <c r="G7" s="221" t="s">
        <v>156</v>
      </c>
      <c r="H7" s="226"/>
      <c r="I7" s="226"/>
      <c r="J7" s="222"/>
      <c r="K7" s="221" t="s">
        <v>29</v>
      </c>
      <c r="L7" s="222"/>
    </row>
    <row r="8" spans="1:12" ht="24.75" customHeight="1">
      <c r="A8" s="234"/>
      <c r="B8" s="234"/>
      <c r="C8" s="234"/>
      <c r="D8" s="234"/>
      <c r="E8" s="223" t="s">
        <v>650</v>
      </c>
      <c r="F8" s="223" t="s">
        <v>651</v>
      </c>
      <c r="G8" s="223" t="s">
        <v>650</v>
      </c>
      <c r="H8" s="223" t="s">
        <v>651</v>
      </c>
      <c r="I8" s="221" t="s">
        <v>30</v>
      </c>
      <c r="J8" s="222"/>
      <c r="K8" s="223" t="s">
        <v>650</v>
      </c>
      <c r="L8" s="223" t="s">
        <v>651</v>
      </c>
    </row>
    <row r="9" spans="1:12" ht="24.75" customHeight="1">
      <c r="A9" s="234"/>
      <c r="B9" s="234"/>
      <c r="C9" s="234"/>
      <c r="D9" s="234"/>
      <c r="E9" s="224"/>
      <c r="F9" s="224"/>
      <c r="G9" s="224"/>
      <c r="H9" s="224"/>
      <c r="I9" s="42" t="s">
        <v>650</v>
      </c>
      <c r="J9" s="6" t="s">
        <v>651</v>
      </c>
      <c r="K9" s="224"/>
      <c r="L9" s="224"/>
    </row>
    <row r="10" spans="1:12" s="14" customFormat="1" ht="12" customHeight="1">
      <c r="A10" s="6">
        <v>1</v>
      </c>
      <c r="B10" s="6">
        <v>2</v>
      </c>
      <c r="C10" s="6">
        <v>3</v>
      </c>
      <c r="D10" s="6">
        <v>4</v>
      </c>
      <c r="E10" s="6">
        <v>5</v>
      </c>
      <c r="F10" s="6">
        <v>6</v>
      </c>
      <c r="G10" s="6">
        <v>7</v>
      </c>
      <c r="H10" s="6">
        <v>8</v>
      </c>
      <c r="I10" s="6">
        <v>9</v>
      </c>
      <c r="J10" s="6">
        <v>10</v>
      </c>
      <c r="K10" s="6">
        <v>11</v>
      </c>
      <c r="L10" s="31">
        <v>12</v>
      </c>
    </row>
    <row r="11" spans="1:15" ht="19.5" customHeight="1">
      <c r="A11" s="55">
        <v>1</v>
      </c>
      <c r="B11" s="7" t="s">
        <v>101</v>
      </c>
      <c r="C11" s="50" t="s">
        <v>102</v>
      </c>
      <c r="D11" s="106"/>
      <c r="E11" s="132">
        <f aca="true" t="shared" si="0" ref="E11:F16">+G11+K11</f>
        <v>66.4</v>
      </c>
      <c r="F11" s="132">
        <f t="shared" si="0"/>
        <v>46.400000000000006</v>
      </c>
      <c r="G11" s="132">
        <f>SUM(G12:G38)</f>
        <v>59.900000000000006</v>
      </c>
      <c r="H11" s="132">
        <f>SUM(H12:H38)</f>
        <v>39.900000000000006</v>
      </c>
      <c r="I11" s="132">
        <f>SUM(I12:I37)</f>
        <v>0</v>
      </c>
      <c r="J11" s="132">
        <v>0</v>
      </c>
      <c r="K11" s="132">
        <f>SUM(K12:K37)</f>
        <v>6.5</v>
      </c>
      <c r="L11" s="132">
        <f>SUM(L12:L37)</f>
        <v>6.5</v>
      </c>
      <c r="M11" s="1"/>
      <c r="N11" s="1"/>
      <c r="O11" s="1"/>
    </row>
    <row r="12" spans="1:15" ht="12" customHeight="1">
      <c r="A12" s="55">
        <v>2</v>
      </c>
      <c r="B12" s="7"/>
      <c r="C12" s="32" t="s">
        <v>181</v>
      </c>
      <c r="D12" s="9" t="s">
        <v>103</v>
      </c>
      <c r="E12" s="144">
        <f t="shared" si="0"/>
        <v>1</v>
      </c>
      <c r="F12" s="144">
        <f t="shared" si="0"/>
        <v>1</v>
      </c>
      <c r="G12" s="144">
        <v>1</v>
      </c>
      <c r="H12" s="144">
        <v>1</v>
      </c>
      <c r="I12" s="132"/>
      <c r="J12" s="132"/>
      <c r="K12" s="132"/>
      <c r="L12" s="66"/>
      <c r="M12" s="1"/>
      <c r="N12" s="1"/>
      <c r="O12" s="1"/>
    </row>
    <row r="13" spans="1:15" ht="12" customHeight="1">
      <c r="A13" s="55">
        <v>3</v>
      </c>
      <c r="B13" s="7"/>
      <c r="C13" s="32" t="s">
        <v>95</v>
      </c>
      <c r="D13" s="9" t="s">
        <v>103</v>
      </c>
      <c r="E13" s="144">
        <f t="shared" si="0"/>
        <v>1</v>
      </c>
      <c r="F13" s="144">
        <f t="shared" si="0"/>
        <v>1</v>
      </c>
      <c r="G13" s="144">
        <v>1</v>
      </c>
      <c r="H13" s="144">
        <v>1</v>
      </c>
      <c r="I13" s="132"/>
      <c r="J13" s="132"/>
      <c r="K13" s="132"/>
      <c r="L13" s="66"/>
      <c r="M13" s="1"/>
      <c r="N13" s="1"/>
      <c r="O13" s="1"/>
    </row>
    <row r="14" spans="1:15" ht="15" customHeight="1">
      <c r="A14" s="55">
        <v>4</v>
      </c>
      <c r="B14" s="65"/>
      <c r="C14" s="32" t="s">
        <v>615</v>
      </c>
      <c r="D14" s="9" t="s">
        <v>104</v>
      </c>
      <c r="E14" s="144">
        <f t="shared" si="0"/>
        <v>1.3</v>
      </c>
      <c r="F14" s="144">
        <f t="shared" si="0"/>
        <v>1.3</v>
      </c>
      <c r="G14" s="144">
        <v>1.3</v>
      </c>
      <c r="H14" s="144">
        <v>1.3</v>
      </c>
      <c r="I14" s="144"/>
      <c r="J14" s="144"/>
      <c r="K14" s="144"/>
      <c r="L14" s="66"/>
      <c r="M14" s="1"/>
      <c r="N14" s="1"/>
      <c r="O14" s="1"/>
    </row>
    <row r="15" spans="1:15" ht="12" customHeight="1">
      <c r="A15" s="55">
        <v>5</v>
      </c>
      <c r="B15" s="65"/>
      <c r="C15" s="32" t="s">
        <v>616</v>
      </c>
      <c r="D15" s="9" t="s">
        <v>104</v>
      </c>
      <c r="E15" s="144">
        <f t="shared" si="0"/>
        <v>2.2</v>
      </c>
      <c r="F15" s="144">
        <f t="shared" si="0"/>
        <v>2.1</v>
      </c>
      <c r="G15" s="144">
        <f>2.2</f>
        <v>2.2</v>
      </c>
      <c r="H15" s="144">
        <v>2.1</v>
      </c>
      <c r="I15" s="144"/>
      <c r="J15" s="144"/>
      <c r="K15" s="144"/>
      <c r="L15" s="66"/>
      <c r="M15" s="1"/>
      <c r="N15" s="1"/>
      <c r="O15" s="1"/>
    </row>
    <row r="16" spans="1:15" ht="12" customHeight="1">
      <c r="A16" s="55">
        <v>6</v>
      </c>
      <c r="B16" s="65"/>
      <c r="C16" s="32" t="s">
        <v>74</v>
      </c>
      <c r="D16" s="9" t="s">
        <v>103</v>
      </c>
      <c r="E16" s="144">
        <f t="shared" si="0"/>
        <v>1</v>
      </c>
      <c r="F16" s="144">
        <f t="shared" si="0"/>
        <v>0.9</v>
      </c>
      <c r="G16" s="144">
        <f>1</f>
        <v>1</v>
      </c>
      <c r="H16" s="144">
        <v>0.9</v>
      </c>
      <c r="I16" s="132"/>
      <c r="J16" s="132"/>
      <c r="K16" s="132"/>
      <c r="L16" s="66"/>
      <c r="M16" s="1"/>
      <c r="N16" s="1"/>
      <c r="O16" s="1"/>
    </row>
    <row r="17" spans="1:15" ht="12.75" customHeight="1">
      <c r="A17" s="55">
        <v>7</v>
      </c>
      <c r="B17" s="17"/>
      <c r="C17" s="32" t="s">
        <v>75</v>
      </c>
      <c r="D17" s="9" t="s">
        <v>103</v>
      </c>
      <c r="E17" s="144">
        <f aca="true" t="shared" si="1" ref="E17:F60">+G17+K17</f>
        <v>1.4</v>
      </c>
      <c r="F17" s="144">
        <f t="shared" si="1"/>
        <v>1.3</v>
      </c>
      <c r="G17" s="144">
        <v>1.4</v>
      </c>
      <c r="H17" s="144">
        <v>1.3</v>
      </c>
      <c r="I17" s="144"/>
      <c r="J17" s="144"/>
      <c r="K17" s="144"/>
      <c r="L17" s="66"/>
      <c r="M17" s="25"/>
      <c r="N17" s="25"/>
      <c r="O17" s="25"/>
    </row>
    <row r="18" spans="1:15" ht="12" customHeight="1">
      <c r="A18" s="55">
        <v>8</v>
      </c>
      <c r="B18" s="17"/>
      <c r="C18" s="32" t="s">
        <v>96</v>
      </c>
      <c r="D18" s="9" t="s">
        <v>103</v>
      </c>
      <c r="E18" s="144">
        <f t="shared" si="1"/>
        <v>1.2</v>
      </c>
      <c r="F18" s="144">
        <f t="shared" si="1"/>
        <v>1</v>
      </c>
      <c r="G18" s="144">
        <v>1.2</v>
      </c>
      <c r="H18" s="144">
        <v>1</v>
      </c>
      <c r="I18" s="144"/>
      <c r="J18" s="144"/>
      <c r="K18" s="144"/>
      <c r="L18" s="66"/>
      <c r="M18" s="25"/>
      <c r="N18" s="25"/>
      <c r="O18" s="25"/>
    </row>
    <row r="19" spans="1:15" ht="12" customHeight="1">
      <c r="A19" s="55">
        <v>9</v>
      </c>
      <c r="B19" s="17"/>
      <c r="C19" s="198" t="s">
        <v>84</v>
      </c>
      <c r="D19" s="9" t="s">
        <v>104</v>
      </c>
      <c r="E19" s="144">
        <f t="shared" si="1"/>
        <v>0.1</v>
      </c>
      <c r="F19" s="144">
        <f t="shared" si="1"/>
        <v>0.1</v>
      </c>
      <c r="G19" s="144">
        <v>0.1</v>
      </c>
      <c r="H19" s="144">
        <v>0.1</v>
      </c>
      <c r="I19" s="144"/>
      <c r="J19" s="144"/>
      <c r="K19" s="144"/>
      <c r="L19" s="66"/>
      <c r="M19" s="25"/>
      <c r="N19" s="25"/>
      <c r="O19" s="25"/>
    </row>
    <row r="20" spans="1:15" ht="13.5" customHeight="1">
      <c r="A20" s="55">
        <v>10</v>
      </c>
      <c r="B20" s="17"/>
      <c r="C20" s="32" t="s">
        <v>77</v>
      </c>
      <c r="D20" s="9" t="s">
        <v>105</v>
      </c>
      <c r="E20" s="144">
        <f aca="true" t="shared" si="2" ref="E20:F23">+G20+K20</f>
        <v>7</v>
      </c>
      <c r="F20" s="144">
        <f t="shared" si="2"/>
        <v>4.1</v>
      </c>
      <c r="G20" s="144">
        <v>5.5</v>
      </c>
      <c r="H20" s="144">
        <v>2.6</v>
      </c>
      <c r="I20" s="144"/>
      <c r="J20" s="144"/>
      <c r="K20" s="144">
        <v>1.5</v>
      </c>
      <c r="L20" s="66">
        <v>1.5</v>
      </c>
      <c r="M20" s="25"/>
      <c r="N20" s="25"/>
      <c r="O20" s="25"/>
    </row>
    <row r="21" spans="1:15" ht="13.5" customHeight="1">
      <c r="A21" s="55">
        <v>11</v>
      </c>
      <c r="B21" s="17"/>
      <c r="C21" s="32" t="s">
        <v>85</v>
      </c>
      <c r="D21" s="9" t="s">
        <v>105</v>
      </c>
      <c r="E21" s="144">
        <f t="shared" si="2"/>
        <v>0.20000000000000007</v>
      </c>
      <c r="F21" s="144">
        <f t="shared" si="2"/>
        <v>0</v>
      </c>
      <c r="G21" s="144">
        <f>0.8-0.6</f>
        <v>0.20000000000000007</v>
      </c>
      <c r="H21" s="144">
        <v>0</v>
      </c>
      <c r="I21" s="144"/>
      <c r="J21" s="144"/>
      <c r="K21" s="144"/>
      <c r="L21" s="66"/>
      <c r="M21" s="25"/>
      <c r="N21" s="25"/>
      <c r="O21" s="25"/>
    </row>
    <row r="22" spans="1:15" ht="12" customHeight="1">
      <c r="A22" s="55">
        <v>12</v>
      </c>
      <c r="B22" s="17"/>
      <c r="C22" s="180" t="s">
        <v>267</v>
      </c>
      <c r="D22" s="9" t="s">
        <v>105</v>
      </c>
      <c r="E22" s="144">
        <f t="shared" si="2"/>
        <v>1.2</v>
      </c>
      <c r="F22" s="144">
        <f t="shared" si="2"/>
        <v>1</v>
      </c>
      <c r="G22" s="144">
        <f>0.5+0.7</f>
        <v>1.2</v>
      </c>
      <c r="H22" s="144">
        <v>1</v>
      </c>
      <c r="I22" s="144"/>
      <c r="J22" s="144"/>
      <c r="K22" s="144"/>
      <c r="L22" s="66"/>
      <c r="M22" s="25"/>
      <c r="N22" s="25"/>
      <c r="O22" s="25"/>
    </row>
    <row r="23" spans="1:15" ht="15" customHeight="1">
      <c r="A23" s="55">
        <v>13</v>
      </c>
      <c r="B23" s="17"/>
      <c r="C23" s="180" t="s">
        <v>268</v>
      </c>
      <c r="D23" s="9" t="s">
        <v>105</v>
      </c>
      <c r="E23" s="144">
        <f t="shared" si="2"/>
        <v>0.2</v>
      </c>
      <c r="F23" s="144">
        <f t="shared" si="2"/>
        <v>0.1</v>
      </c>
      <c r="G23" s="144">
        <v>0.2</v>
      </c>
      <c r="H23" s="144">
        <v>0.1</v>
      </c>
      <c r="I23" s="144"/>
      <c r="J23" s="144"/>
      <c r="K23" s="144"/>
      <c r="L23" s="66"/>
      <c r="M23" s="25"/>
      <c r="N23" s="25"/>
      <c r="O23" s="25"/>
    </row>
    <row r="24" spans="1:15" ht="15" customHeight="1">
      <c r="A24" s="55">
        <v>14</v>
      </c>
      <c r="B24" s="17"/>
      <c r="C24" s="180" t="s">
        <v>78</v>
      </c>
      <c r="D24" s="9" t="s">
        <v>105</v>
      </c>
      <c r="E24" s="144">
        <f t="shared" si="1"/>
        <v>0.1</v>
      </c>
      <c r="F24" s="144">
        <f t="shared" si="1"/>
        <v>0</v>
      </c>
      <c r="G24" s="144">
        <f>0.2-0.1</f>
        <v>0.1</v>
      </c>
      <c r="H24" s="144">
        <v>0</v>
      </c>
      <c r="I24" s="144"/>
      <c r="J24" s="144"/>
      <c r="K24" s="144"/>
      <c r="L24" s="66"/>
      <c r="M24" s="25"/>
      <c r="N24" s="25"/>
      <c r="O24" s="25"/>
    </row>
    <row r="25" spans="1:15" ht="12" customHeight="1">
      <c r="A25" s="55">
        <v>15</v>
      </c>
      <c r="B25" s="17"/>
      <c r="C25" s="32" t="s">
        <v>273</v>
      </c>
      <c r="D25" s="9" t="s">
        <v>105</v>
      </c>
      <c r="E25" s="144">
        <f>+G25+K25</f>
        <v>0.3</v>
      </c>
      <c r="F25" s="144">
        <f>+H25+L25</f>
        <v>0.1</v>
      </c>
      <c r="G25" s="144">
        <f>0.3</f>
        <v>0.3</v>
      </c>
      <c r="H25" s="144">
        <v>0.1</v>
      </c>
      <c r="I25" s="144"/>
      <c r="J25" s="144"/>
      <c r="K25" s="144"/>
      <c r="L25" s="66"/>
      <c r="M25" s="25"/>
      <c r="N25" s="25"/>
      <c r="O25" s="25"/>
    </row>
    <row r="26" spans="1:15" ht="15" customHeight="1">
      <c r="A26" s="55">
        <v>16</v>
      </c>
      <c r="B26" s="17"/>
      <c r="C26" s="180" t="s">
        <v>222</v>
      </c>
      <c r="D26" s="11" t="s">
        <v>157</v>
      </c>
      <c r="E26" s="144">
        <f t="shared" si="1"/>
        <v>2.6</v>
      </c>
      <c r="F26" s="144">
        <f t="shared" si="1"/>
        <v>1.9</v>
      </c>
      <c r="G26" s="144">
        <f>2+0.6</f>
        <v>2.6</v>
      </c>
      <c r="H26" s="144">
        <v>1.9</v>
      </c>
      <c r="I26" s="144"/>
      <c r="J26" s="144"/>
      <c r="K26" s="144"/>
      <c r="L26" s="66"/>
      <c r="M26" s="25"/>
      <c r="N26" s="25"/>
      <c r="O26" s="25"/>
    </row>
    <row r="27" spans="1:15" ht="12" customHeight="1">
      <c r="A27" s="55">
        <v>17</v>
      </c>
      <c r="B27" s="17"/>
      <c r="C27" s="32" t="s">
        <v>224</v>
      </c>
      <c r="D27" s="11" t="s">
        <v>157</v>
      </c>
      <c r="E27" s="144">
        <f t="shared" si="1"/>
        <v>0.1</v>
      </c>
      <c r="F27" s="144">
        <f t="shared" si="1"/>
        <v>0</v>
      </c>
      <c r="G27" s="144">
        <v>0.1</v>
      </c>
      <c r="H27" s="144">
        <v>0</v>
      </c>
      <c r="I27" s="144"/>
      <c r="J27" s="144"/>
      <c r="K27" s="144"/>
      <c r="L27" s="66"/>
      <c r="M27" s="25"/>
      <c r="N27" s="25"/>
      <c r="O27" s="25"/>
    </row>
    <row r="28" spans="1:15" ht="13.5" customHeight="1">
      <c r="A28" s="55">
        <v>18</v>
      </c>
      <c r="B28" s="17"/>
      <c r="C28" s="180" t="s">
        <v>223</v>
      </c>
      <c r="D28" s="11" t="s">
        <v>157</v>
      </c>
      <c r="E28" s="144">
        <f t="shared" si="1"/>
        <v>3</v>
      </c>
      <c r="F28" s="144">
        <f t="shared" si="1"/>
        <v>3</v>
      </c>
      <c r="G28" s="144">
        <v>3</v>
      </c>
      <c r="H28" s="144">
        <v>3</v>
      </c>
      <c r="I28" s="144"/>
      <c r="J28" s="144"/>
      <c r="K28" s="144"/>
      <c r="L28" s="66"/>
      <c r="M28" s="25"/>
      <c r="N28" s="25"/>
      <c r="O28" s="25"/>
    </row>
    <row r="29" spans="1:15" ht="15" customHeight="1">
      <c r="A29" s="55">
        <v>19</v>
      </c>
      <c r="B29" s="17"/>
      <c r="C29" s="180" t="s">
        <v>79</v>
      </c>
      <c r="D29" s="11" t="s">
        <v>157</v>
      </c>
      <c r="E29" s="144">
        <f t="shared" si="1"/>
        <v>0.1</v>
      </c>
      <c r="F29" s="144">
        <f t="shared" si="1"/>
        <v>0.1</v>
      </c>
      <c r="G29" s="144">
        <v>0.1</v>
      </c>
      <c r="H29" s="144">
        <v>0.1</v>
      </c>
      <c r="I29" s="144"/>
      <c r="J29" s="144"/>
      <c r="K29" s="144"/>
      <c r="L29" s="66"/>
      <c r="M29" s="25"/>
      <c r="N29" s="25"/>
      <c r="O29" s="25"/>
    </row>
    <row r="30" spans="1:15" ht="13.5" customHeight="1">
      <c r="A30" s="55">
        <v>20</v>
      </c>
      <c r="B30" s="17"/>
      <c r="C30" s="180" t="s">
        <v>270</v>
      </c>
      <c r="D30" s="11" t="s">
        <v>157</v>
      </c>
      <c r="E30" s="144">
        <f t="shared" si="1"/>
        <v>0.3</v>
      </c>
      <c r="F30" s="144">
        <f t="shared" si="1"/>
        <v>0.2</v>
      </c>
      <c r="G30" s="144">
        <f>0.6-0.3</f>
        <v>0.3</v>
      </c>
      <c r="H30" s="144">
        <v>0.2</v>
      </c>
      <c r="I30" s="144"/>
      <c r="J30" s="144"/>
      <c r="K30" s="144"/>
      <c r="L30" s="66"/>
      <c r="M30" s="25"/>
      <c r="N30" s="25"/>
      <c r="O30" s="25"/>
    </row>
    <row r="31" spans="1:15" ht="13.5" customHeight="1">
      <c r="A31" s="55">
        <v>21</v>
      </c>
      <c r="B31" s="17"/>
      <c r="C31" s="61" t="s">
        <v>271</v>
      </c>
      <c r="D31" s="11" t="s">
        <v>157</v>
      </c>
      <c r="E31" s="144">
        <f t="shared" si="1"/>
        <v>0.1</v>
      </c>
      <c r="F31" s="144">
        <f t="shared" si="1"/>
        <v>0</v>
      </c>
      <c r="G31" s="144">
        <v>0.1</v>
      </c>
      <c r="H31" s="144">
        <v>0</v>
      </c>
      <c r="I31" s="144"/>
      <c r="J31" s="144"/>
      <c r="K31" s="144"/>
      <c r="L31" s="66"/>
      <c r="M31" s="25"/>
      <c r="N31" s="25"/>
      <c r="O31" s="25"/>
    </row>
    <row r="32" spans="1:15" ht="12" customHeight="1">
      <c r="A32" s="55">
        <v>22</v>
      </c>
      <c r="B32" s="17"/>
      <c r="C32" s="61" t="s">
        <v>80</v>
      </c>
      <c r="D32" s="11" t="s">
        <v>157</v>
      </c>
      <c r="E32" s="144">
        <f t="shared" si="1"/>
        <v>0.1</v>
      </c>
      <c r="F32" s="144">
        <f t="shared" si="1"/>
        <v>0</v>
      </c>
      <c r="G32" s="144">
        <v>0.1</v>
      </c>
      <c r="H32" s="144">
        <v>0</v>
      </c>
      <c r="I32" s="144"/>
      <c r="J32" s="144"/>
      <c r="K32" s="144"/>
      <c r="L32" s="66"/>
      <c r="M32" s="1"/>
      <c r="N32" s="1"/>
      <c r="O32" s="1"/>
    </row>
    <row r="33" spans="1:15" ht="12" customHeight="1">
      <c r="A33" s="55">
        <v>23</v>
      </c>
      <c r="B33" s="17"/>
      <c r="C33" s="61" t="s">
        <v>272</v>
      </c>
      <c r="D33" s="11" t="s">
        <v>157</v>
      </c>
      <c r="E33" s="144">
        <f t="shared" si="1"/>
        <v>0.1</v>
      </c>
      <c r="F33" s="144">
        <f t="shared" si="1"/>
        <v>0</v>
      </c>
      <c r="G33" s="144">
        <v>0.1</v>
      </c>
      <c r="H33" s="144">
        <v>0</v>
      </c>
      <c r="I33" s="144"/>
      <c r="J33" s="144"/>
      <c r="K33" s="144"/>
      <c r="L33" s="66"/>
      <c r="M33" s="1"/>
      <c r="N33" s="1"/>
      <c r="O33" s="1"/>
    </row>
    <row r="34" spans="1:15" ht="15" customHeight="1">
      <c r="A34" s="55">
        <v>24</v>
      </c>
      <c r="B34" s="17"/>
      <c r="C34" s="180" t="s">
        <v>192</v>
      </c>
      <c r="D34" s="9" t="s">
        <v>105</v>
      </c>
      <c r="E34" s="144">
        <f t="shared" si="1"/>
        <v>0.2</v>
      </c>
      <c r="F34" s="144">
        <f t="shared" si="1"/>
        <v>0.1</v>
      </c>
      <c r="G34" s="144">
        <v>0.2</v>
      </c>
      <c r="H34" s="144">
        <v>0.1</v>
      </c>
      <c r="I34" s="144"/>
      <c r="J34" s="144"/>
      <c r="K34" s="144"/>
      <c r="L34" s="66"/>
      <c r="M34" s="1"/>
      <c r="N34" s="1"/>
      <c r="O34" s="1"/>
    </row>
    <row r="35" spans="1:15" ht="12" customHeight="1">
      <c r="A35" s="55">
        <v>25</v>
      </c>
      <c r="B35" s="17"/>
      <c r="C35" s="32" t="s">
        <v>87</v>
      </c>
      <c r="D35" s="9" t="s">
        <v>107</v>
      </c>
      <c r="E35" s="144">
        <f t="shared" si="1"/>
        <v>0.1</v>
      </c>
      <c r="F35" s="144">
        <f t="shared" si="1"/>
        <v>0</v>
      </c>
      <c r="G35" s="144">
        <v>0.1</v>
      </c>
      <c r="H35" s="144">
        <v>0</v>
      </c>
      <c r="I35" s="144"/>
      <c r="J35" s="144"/>
      <c r="K35" s="144"/>
      <c r="L35" s="66"/>
      <c r="M35" s="1"/>
      <c r="N35" s="1"/>
      <c r="O35" s="1"/>
    </row>
    <row r="36" spans="1:15" ht="14.25" customHeight="1">
      <c r="A36" s="55">
        <v>26</v>
      </c>
      <c r="B36" s="17"/>
      <c r="C36" s="32" t="s">
        <v>193</v>
      </c>
      <c r="D36" s="9" t="s">
        <v>107</v>
      </c>
      <c r="E36" s="144">
        <f t="shared" si="1"/>
        <v>40</v>
      </c>
      <c r="F36" s="144">
        <f t="shared" si="1"/>
        <v>25.8</v>
      </c>
      <c r="G36" s="144">
        <f>35</f>
        <v>35</v>
      </c>
      <c r="H36" s="144">
        <v>20.8</v>
      </c>
      <c r="I36" s="144"/>
      <c r="J36" s="144"/>
      <c r="K36" s="144">
        <v>5</v>
      </c>
      <c r="L36" s="66">
        <v>5</v>
      </c>
      <c r="M36" s="1"/>
      <c r="N36" s="1"/>
      <c r="O36" s="1"/>
    </row>
    <row r="37" spans="1:15" ht="15.75" customHeight="1">
      <c r="A37" s="55">
        <v>27</v>
      </c>
      <c r="B37" s="17"/>
      <c r="C37" s="66" t="s">
        <v>170</v>
      </c>
      <c r="D37" s="9" t="s">
        <v>171</v>
      </c>
      <c r="E37" s="144">
        <f t="shared" si="1"/>
        <v>1.3</v>
      </c>
      <c r="F37" s="144">
        <f t="shared" si="1"/>
        <v>1.1</v>
      </c>
      <c r="G37" s="144">
        <f>1.3</f>
        <v>1.3</v>
      </c>
      <c r="H37" s="144">
        <v>1.1</v>
      </c>
      <c r="I37" s="144"/>
      <c r="J37" s="144"/>
      <c r="K37" s="144"/>
      <c r="L37" s="66"/>
      <c r="M37" s="1"/>
      <c r="N37" s="1"/>
      <c r="O37" s="1"/>
    </row>
    <row r="38" spans="1:15" ht="12.75">
      <c r="A38" s="55">
        <v>28</v>
      </c>
      <c r="B38" s="17"/>
      <c r="C38" s="175" t="s">
        <v>15</v>
      </c>
      <c r="D38" s="9" t="s">
        <v>103</v>
      </c>
      <c r="E38" s="144">
        <f t="shared" si="1"/>
        <v>0.2</v>
      </c>
      <c r="F38" s="144">
        <f t="shared" si="1"/>
        <v>0.2</v>
      </c>
      <c r="G38" s="144">
        <v>0.2</v>
      </c>
      <c r="H38" s="144">
        <v>0.2</v>
      </c>
      <c r="I38" s="144"/>
      <c r="J38" s="144"/>
      <c r="K38" s="144"/>
      <c r="L38" s="66"/>
      <c r="M38" s="1"/>
      <c r="N38" s="1"/>
      <c r="O38" s="1"/>
    </row>
    <row r="39" spans="1:15" ht="12.75">
      <c r="A39" s="55">
        <v>29</v>
      </c>
      <c r="B39" s="7" t="s">
        <v>129</v>
      </c>
      <c r="C39" s="10" t="s">
        <v>130</v>
      </c>
      <c r="D39" s="9"/>
      <c r="E39" s="132">
        <f aca="true" t="shared" si="3" ref="E39:F48">+G39+K39</f>
        <v>12.9</v>
      </c>
      <c r="F39" s="132">
        <f t="shared" si="3"/>
        <v>12.299999999999999</v>
      </c>
      <c r="G39" s="132">
        <f>SUM(G40:G47)</f>
        <v>12.9</v>
      </c>
      <c r="H39" s="132">
        <f>SUM(H40:H47)</f>
        <v>12.299999999999999</v>
      </c>
      <c r="I39" s="132">
        <f>SUM(I40:I47)</f>
        <v>0</v>
      </c>
      <c r="J39" s="132">
        <v>0</v>
      </c>
      <c r="K39" s="132">
        <f>SUM(K40:K47)</f>
        <v>0</v>
      </c>
      <c r="L39" s="156">
        <v>0</v>
      </c>
      <c r="M39" s="1"/>
      <c r="N39" s="1"/>
      <c r="O39" s="1"/>
    </row>
    <row r="40" spans="1:15" ht="12.75">
      <c r="A40" s="55">
        <v>30</v>
      </c>
      <c r="B40" s="17"/>
      <c r="C40" s="66" t="s">
        <v>82</v>
      </c>
      <c r="D40" s="9" t="s">
        <v>131</v>
      </c>
      <c r="E40" s="144">
        <f t="shared" si="3"/>
        <v>11</v>
      </c>
      <c r="F40" s="144">
        <f t="shared" si="3"/>
        <v>11</v>
      </c>
      <c r="G40" s="144">
        <f>10+1</f>
        <v>11</v>
      </c>
      <c r="H40" s="144">
        <v>11</v>
      </c>
      <c r="I40" s="144"/>
      <c r="J40" s="144"/>
      <c r="K40" s="144"/>
      <c r="L40" s="66"/>
      <c r="M40" s="1"/>
      <c r="N40" s="1"/>
      <c r="O40" s="1"/>
    </row>
    <row r="41" spans="1:15" ht="12.75">
      <c r="A41" s="55">
        <v>31</v>
      </c>
      <c r="B41" s="17"/>
      <c r="C41" s="33" t="s">
        <v>89</v>
      </c>
      <c r="D41" s="9" t="s">
        <v>131</v>
      </c>
      <c r="E41" s="144">
        <f t="shared" si="3"/>
        <v>0.3</v>
      </c>
      <c r="F41" s="144">
        <f t="shared" si="3"/>
        <v>0</v>
      </c>
      <c r="G41" s="144">
        <f>0.6-0.3</f>
        <v>0.3</v>
      </c>
      <c r="H41" s="144">
        <v>0</v>
      </c>
      <c r="I41" s="144"/>
      <c r="J41" s="144"/>
      <c r="K41" s="144"/>
      <c r="L41" s="66"/>
      <c r="M41" s="1"/>
      <c r="N41" s="1"/>
      <c r="O41" s="1"/>
    </row>
    <row r="42" spans="1:15" ht="12.75">
      <c r="A42" s="55">
        <v>32</v>
      </c>
      <c r="B42" s="17"/>
      <c r="C42" s="66" t="s">
        <v>90</v>
      </c>
      <c r="D42" s="9" t="s">
        <v>131</v>
      </c>
      <c r="E42" s="144">
        <f t="shared" si="3"/>
        <v>0.30000000000000004</v>
      </c>
      <c r="F42" s="144">
        <f t="shared" si="3"/>
        <v>0.3</v>
      </c>
      <c r="G42" s="144">
        <f>1-0.7</f>
        <v>0.30000000000000004</v>
      </c>
      <c r="H42" s="144">
        <v>0.3</v>
      </c>
      <c r="I42" s="144"/>
      <c r="J42" s="144"/>
      <c r="K42" s="144"/>
      <c r="L42" s="66"/>
      <c r="M42" s="1"/>
      <c r="N42" s="1"/>
      <c r="O42" s="1"/>
    </row>
    <row r="43" spans="1:15" ht="12" customHeight="1">
      <c r="A43" s="55">
        <v>33</v>
      </c>
      <c r="B43" s="17"/>
      <c r="C43" s="66" t="s">
        <v>83</v>
      </c>
      <c r="D43" s="9" t="s">
        <v>131</v>
      </c>
      <c r="E43" s="144">
        <f t="shared" si="3"/>
        <v>0.2</v>
      </c>
      <c r="F43" s="144">
        <f t="shared" si="3"/>
        <v>0.2</v>
      </c>
      <c r="G43" s="144">
        <f>0.5-0.3</f>
        <v>0.2</v>
      </c>
      <c r="H43" s="144">
        <v>0.2</v>
      </c>
      <c r="I43" s="144"/>
      <c r="J43" s="144"/>
      <c r="K43" s="144"/>
      <c r="L43" s="66"/>
      <c r="M43" s="1"/>
      <c r="N43" s="1"/>
      <c r="O43" s="1"/>
    </row>
    <row r="44" spans="1:15" ht="12.75">
      <c r="A44" s="55">
        <v>34</v>
      </c>
      <c r="B44" s="17"/>
      <c r="C44" s="66" t="s">
        <v>91</v>
      </c>
      <c r="D44" s="9" t="s">
        <v>131</v>
      </c>
      <c r="E44" s="144">
        <f t="shared" si="3"/>
        <v>0.2</v>
      </c>
      <c r="F44" s="144">
        <f t="shared" si="3"/>
        <v>0.1</v>
      </c>
      <c r="G44" s="144">
        <v>0.2</v>
      </c>
      <c r="H44" s="144">
        <v>0.1</v>
      </c>
      <c r="I44" s="144"/>
      <c r="J44" s="144"/>
      <c r="K44" s="144"/>
      <c r="L44" s="66"/>
      <c r="M44" s="1"/>
      <c r="N44" s="1"/>
      <c r="O44" s="1"/>
    </row>
    <row r="45" spans="1:15" ht="12" customHeight="1">
      <c r="A45" s="55">
        <v>35</v>
      </c>
      <c r="B45" s="17"/>
      <c r="C45" s="33" t="s">
        <v>92</v>
      </c>
      <c r="D45" s="9" t="s">
        <v>131</v>
      </c>
      <c r="E45" s="144">
        <f t="shared" si="3"/>
        <v>0.2</v>
      </c>
      <c r="F45" s="144">
        <f t="shared" si="3"/>
        <v>0.2</v>
      </c>
      <c r="G45" s="144">
        <v>0.2</v>
      </c>
      <c r="H45" s="144">
        <v>0.2</v>
      </c>
      <c r="I45" s="144"/>
      <c r="J45" s="144"/>
      <c r="K45" s="144"/>
      <c r="L45" s="66"/>
      <c r="M45" s="1"/>
      <c r="N45" s="1"/>
      <c r="O45" s="1"/>
    </row>
    <row r="46" spans="1:15" ht="26.25" customHeight="1">
      <c r="A46" s="55">
        <v>36</v>
      </c>
      <c r="B46" s="17"/>
      <c r="C46" s="180" t="s">
        <v>93</v>
      </c>
      <c r="D46" s="9" t="s">
        <v>132</v>
      </c>
      <c r="E46" s="144">
        <f t="shared" si="3"/>
        <v>0.3</v>
      </c>
      <c r="F46" s="144">
        <f t="shared" si="3"/>
        <v>0.1</v>
      </c>
      <c r="G46" s="144">
        <v>0.3</v>
      </c>
      <c r="H46" s="144">
        <v>0.1</v>
      </c>
      <c r="I46" s="144"/>
      <c r="J46" s="144"/>
      <c r="K46" s="144"/>
      <c r="L46" s="66"/>
      <c r="M46" s="1"/>
      <c r="N46" s="1"/>
      <c r="O46" s="1"/>
    </row>
    <row r="47" spans="1:15" ht="12" customHeight="1">
      <c r="A47" s="55">
        <v>37</v>
      </c>
      <c r="B47" s="17"/>
      <c r="C47" s="66" t="s">
        <v>81</v>
      </c>
      <c r="D47" s="9" t="s">
        <v>133</v>
      </c>
      <c r="E47" s="144">
        <f t="shared" si="3"/>
        <v>0.4</v>
      </c>
      <c r="F47" s="144">
        <f t="shared" si="3"/>
        <v>0.4</v>
      </c>
      <c r="G47" s="144">
        <v>0.4</v>
      </c>
      <c r="H47" s="144">
        <v>0.4</v>
      </c>
      <c r="I47" s="144"/>
      <c r="J47" s="144"/>
      <c r="K47" s="144"/>
      <c r="L47" s="66"/>
      <c r="M47" s="1"/>
      <c r="N47" s="1"/>
      <c r="O47" s="1"/>
    </row>
    <row r="48" spans="1:15" ht="12.75">
      <c r="A48" s="55">
        <v>38</v>
      </c>
      <c r="B48" s="7" t="s">
        <v>25</v>
      </c>
      <c r="C48" s="10" t="s">
        <v>26</v>
      </c>
      <c r="D48" s="9"/>
      <c r="E48" s="132">
        <f t="shared" si="3"/>
        <v>30.500000000000004</v>
      </c>
      <c r="F48" s="132">
        <f t="shared" si="3"/>
        <v>20.000000000000004</v>
      </c>
      <c r="G48" s="132">
        <f>SUM(G49:G60)</f>
        <v>30.500000000000004</v>
      </c>
      <c r="H48" s="132">
        <f>SUM(H49:H60)</f>
        <v>20.000000000000004</v>
      </c>
      <c r="I48" s="132">
        <f>SUM(I49:I60)</f>
        <v>0</v>
      </c>
      <c r="J48" s="132">
        <v>0</v>
      </c>
      <c r="K48" s="132">
        <f>SUM(K49:K60)</f>
        <v>0</v>
      </c>
      <c r="L48" s="156">
        <v>0</v>
      </c>
      <c r="M48" s="1"/>
      <c r="N48" s="1"/>
      <c r="O48" s="1"/>
    </row>
    <row r="49" spans="1:15" ht="12" customHeight="1">
      <c r="A49" s="55">
        <v>39</v>
      </c>
      <c r="B49" s="17"/>
      <c r="C49" s="64" t="s">
        <v>3</v>
      </c>
      <c r="D49" s="28" t="s">
        <v>190</v>
      </c>
      <c r="E49" s="144">
        <f t="shared" si="1"/>
        <v>10</v>
      </c>
      <c r="F49" s="144">
        <f t="shared" si="1"/>
        <v>3.1</v>
      </c>
      <c r="G49" s="144">
        <f>20-10</f>
        <v>10</v>
      </c>
      <c r="H49" s="144">
        <v>3.1</v>
      </c>
      <c r="I49" s="144"/>
      <c r="J49" s="144"/>
      <c r="K49" s="144"/>
      <c r="L49" s="66"/>
      <c r="M49" s="1"/>
      <c r="N49" s="1"/>
      <c r="O49" s="1"/>
    </row>
    <row r="50" spans="1:15" ht="24.75" customHeight="1">
      <c r="A50" s="55">
        <v>40</v>
      </c>
      <c r="B50" s="17"/>
      <c r="C50" s="40" t="s">
        <v>8</v>
      </c>
      <c r="D50" s="28" t="s">
        <v>191</v>
      </c>
      <c r="E50" s="144">
        <f>+G50+K50</f>
        <v>4.5</v>
      </c>
      <c r="F50" s="144">
        <f>+H50+L50</f>
        <v>4.1</v>
      </c>
      <c r="G50" s="144">
        <f>3+1.5</f>
        <v>4.5</v>
      </c>
      <c r="H50" s="144">
        <v>4.1</v>
      </c>
      <c r="I50" s="144"/>
      <c r="J50" s="144"/>
      <c r="K50" s="144"/>
      <c r="L50" s="66"/>
      <c r="M50" s="1"/>
      <c r="N50" s="1"/>
      <c r="O50" s="1"/>
    </row>
    <row r="51" spans="1:15" ht="12" customHeight="1">
      <c r="A51" s="55">
        <v>41</v>
      </c>
      <c r="B51" s="17"/>
      <c r="C51" s="61" t="s">
        <v>4</v>
      </c>
      <c r="D51" s="28" t="s">
        <v>190</v>
      </c>
      <c r="E51" s="144">
        <f t="shared" si="1"/>
        <v>1.6</v>
      </c>
      <c r="F51" s="144">
        <f t="shared" si="1"/>
        <v>1.5</v>
      </c>
      <c r="G51" s="144">
        <f>1.1+0.5</f>
        <v>1.6</v>
      </c>
      <c r="H51" s="144">
        <v>1.5</v>
      </c>
      <c r="I51" s="144"/>
      <c r="J51" s="144"/>
      <c r="K51" s="144"/>
      <c r="L51" s="66"/>
      <c r="M51" s="1"/>
      <c r="N51" s="1"/>
      <c r="O51" s="1"/>
    </row>
    <row r="52" spans="1:15" ht="25.5">
      <c r="A52" s="55">
        <v>42</v>
      </c>
      <c r="B52" s="17"/>
      <c r="C52" s="61" t="s">
        <v>5</v>
      </c>
      <c r="D52" s="28" t="s">
        <v>190</v>
      </c>
      <c r="E52" s="144">
        <f t="shared" si="1"/>
        <v>1.5</v>
      </c>
      <c r="F52" s="144">
        <f t="shared" si="1"/>
        <v>1.4</v>
      </c>
      <c r="G52" s="144">
        <f>0.7+0.8</f>
        <v>1.5</v>
      </c>
      <c r="H52" s="144">
        <v>1.4</v>
      </c>
      <c r="I52" s="144"/>
      <c r="J52" s="144"/>
      <c r="K52" s="144"/>
      <c r="L52" s="66"/>
      <c r="M52" s="1"/>
      <c r="N52" s="1"/>
      <c r="O52" s="1"/>
    </row>
    <row r="53" spans="1:15" ht="12" customHeight="1">
      <c r="A53" s="55">
        <v>43</v>
      </c>
      <c r="B53" s="17"/>
      <c r="C53" s="61" t="s">
        <v>7</v>
      </c>
      <c r="D53" s="28" t="s">
        <v>190</v>
      </c>
      <c r="E53" s="144">
        <f>+G53+K53</f>
        <v>4</v>
      </c>
      <c r="F53" s="144">
        <f>+H53+L53</f>
        <v>3.7</v>
      </c>
      <c r="G53" s="144">
        <v>4</v>
      </c>
      <c r="H53" s="144">
        <v>3.7</v>
      </c>
      <c r="I53" s="144"/>
      <c r="J53" s="144"/>
      <c r="K53" s="144"/>
      <c r="L53" s="66"/>
      <c r="M53" s="1"/>
      <c r="N53" s="1"/>
      <c r="O53" s="1"/>
    </row>
    <row r="54" spans="1:15" ht="12" customHeight="1">
      <c r="A54" s="55">
        <v>44</v>
      </c>
      <c r="B54" s="82"/>
      <c r="C54" s="69" t="s">
        <v>6</v>
      </c>
      <c r="D54" s="28" t="s">
        <v>190</v>
      </c>
      <c r="E54" s="145">
        <f t="shared" si="1"/>
        <v>1.7</v>
      </c>
      <c r="F54" s="145">
        <f t="shared" si="1"/>
        <v>1.7</v>
      </c>
      <c r="G54" s="145">
        <f>1.7</f>
        <v>1.7</v>
      </c>
      <c r="H54" s="145">
        <v>1.7</v>
      </c>
      <c r="I54" s="145"/>
      <c r="J54" s="145"/>
      <c r="K54" s="145"/>
      <c r="L54" s="66"/>
      <c r="M54" s="1"/>
      <c r="N54" s="1"/>
      <c r="O54" s="1"/>
    </row>
    <row r="55" spans="1:15" ht="15" customHeight="1">
      <c r="A55" s="55">
        <v>45</v>
      </c>
      <c r="B55" s="17"/>
      <c r="C55" s="61" t="s">
        <v>9</v>
      </c>
      <c r="D55" s="28" t="s">
        <v>190</v>
      </c>
      <c r="E55" s="144">
        <f t="shared" si="1"/>
        <v>1</v>
      </c>
      <c r="F55" s="144">
        <f t="shared" si="1"/>
        <v>1</v>
      </c>
      <c r="G55" s="144">
        <f>1</f>
        <v>1</v>
      </c>
      <c r="H55" s="144">
        <v>1</v>
      </c>
      <c r="I55" s="144"/>
      <c r="J55" s="144"/>
      <c r="K55" s="144"/>
      <c r="L55" s="66"/>
      <c r="M55" s="1"/>
      <c r="N55" s="1"/>
      <c r="O55" s="1"/>
    </row>
    <row r="56" spans="1:15" ht="12" customHeight="1">
      <c r="A56" s="55">
        <v>46</v>
      </c>
      <c r="B56" s="17"/>
      <c r="C56" s="64" t="s">
        <v>10</v>
      </c>
      <c r="D56" s="28" t="s">
        <v>190</v>
      </c>
      <c r="E56" s="144">
        <f t="shared" si="1"/>
        <v>0.6</v>
      </c>
      <c r="F56" s="144">
        <f t="shared" si="1"/>
        <v>0.5</v>
      </c>
      <c r="G56" s="144">
        <v>0.6</v>
      </c>
      <c r="H56" s="144">
        <v>0.5</v>
      </c>
      <c r="I56" s="144"/>
      <c r="J56" s="144"/>
      <c r="K56" s="144"/>
      <c r="L56" s="66"/>
      <c r="M56" s="1"/>
      <c r="N56" s="1"/>
      <c r="O56" s="1"/>
    </row>
    <row r="57" spans="1:15" ht="17.25" customHeight="1">
      <c r="A57" s="55">
        <v>47</v>
      </c>
      <c r="B57" s="17"/>
      <c r="C57" s="61" t="s">
        <v>12</v>
      </c>
      <c r="D57" s="28" t="s">
        <v>190</v>
      </c>
      <c r="E57" s="144">
        <f>+G57+K57</f>
        <v>2</v>
      </c>
      <c r="F57" s="144">
        <f>+H57+L57</f>
        <v>1.1</v>
      </c>
      <c r="G57" s="144">
        <v>2</v>
      </c>
      <c r="H57" s="144">
        <v>1.1</v>
      </c>
      <c r="I57" s="144"/>
      <c r="J57" s="144"/>
      <c r="K57" s="144"/>
      <c r="L57" s="66"/>
      <c r="M57" s="1"/>
      <c r="N57" s="1"/>
      <c r="O57" s="1"/>
    </row>
    <row r="58" spans="1:15" ht="15" customHeight="1">
      <c r="A58" s="55">
        <v>48</v>
      </c>
      <c r="B58" s="17"/>
      <c r="C58" s="61" t="s">
        <v>11</v>
      </c>
      <c r="D58" s="28" t="s">
        <v>190</v>
      </c>
      <c r="E58" s="144">
        <f t="shared" si="1"/>
        <v>2</v>
      </c>
      <c r="F58" s="144">
        <f t="shared" si="1"/>
        <v>1.1</v>
      </c>
      <c r="G58" s="144">
        <v>2</v>
      </c>
      <c r="H58" s="144">
        <v>1.1</v>
      </c>
      <c r="I58" s="144"/>
      <c r="J58" s="144"/>
      <c r="K58" s="144"/>
      <c r="L58" s="66"/>
      <c r="M58" s="1"/>
      <c r="N58" s="1"/>
      <c r="O58" s="1"/>
    </row>
    <row r="59" spans="1:15" ht="25.5">
      <c r="A59" s="55">
        <v>49</v>
      </c>
      <c r="B59" s="83"/>
      <c r="C59" s="64" t="s">
        <v>13</v>
      </c>
      <c r="D59" s="28" t="s">
        <v>190</v>
      </c>
      <c r="E59" s="144">
        <f t="shared" si="1"/>
        <v>1.1</v>
      </c>
      <c r="F59" s="144">
        <f t="shared" si="1"/>
        <v>0.6</v>
      </c>
      <c r="G59" s="144">
        <v>1.1</v>
      </c>
      <c r="H59" s="144">
        <v>0.6</v>
      </c>
      <c r="I59" s="144"/>
      <c r="J59" s="144"/>
      <c r="K59" s="144"/>
      <c r="L59" s="66"/>
      <c r="M59" s="1"/>
      <c r="N59" s="1"/>
      <c r="O59" s="1"/>
    </row>
    <row r="60" spans="1:15" ht="12" customHeight="1">
      <c r="A60" s="55">
        <v>50</v>
      </c>
      <c r="B60" s="17"/>
      <c r="C60" s="61" t="s">
        <v>14</v>
      </c>
      <c r="D60" s="28" t="s">
        <v>190</v>
      </c>
      <c r="E60" s="144">
        <f t="shared" si="1"/>
        <v>0.5</v>
      </c>
      <c r="F60" s="144">
        <f t="shared" si="1"/>
        <v>0.2</v>
      </c>
      <c r="G60" s="144">
        <v>0.5</v>
      </c>
      <c r="H60" s="144">
        <v>0.2</v>
      </c>
      <c r="I60" s="144"/>
      <c r="J60" s="144"/>
      <c r="K60" s="144"/>
      <c r="L60" s="66"/>
      <c r="M60" s="1"/>
      <c r="N60" s="1"/>
      <c r="O60" s="1"/>
    </row>
    <row r="61" spans="1:17" ht="12" customHeight="1">
      <c r="A61" s="55">
        <v>51</v>
      </c>
      <c r="B61" s="17"/>
      <c r="C61" s="107" t="s">
        <v>20</v>
      </c>
      <c r="D61" s="71"/>
      <c r="E61" s="132">
        <f>+G61+K61</f>
        <v>109.80000000000001</v>
      </c>
      <c r="F61" s="132">
        <f>+H61+L61</f>
        <v>78.7</v>
      </c>
      <c r="G61" s="132">
        <f aca="true" t="shared" si="4" ref="G61:L61">+G11+G39+G48</f>
        <v>103.30000000000001</v>
      </c>
      <c r="H61" s="132">
        <f t="shared" si="4"/>
        <v>72.2</v>
      </c>
      <c r="I61" s="132">
        <f t="shared" si="4"/>
        <v>0</v>
      </c>
      <c r="J61" s="132">
        <f t="shared" si="4"/>
        <v>0</v>
      </c>
      <c r="K61" s="132">
        <f t="shared" si="4"/>
        <v>6.5</v>
      </c>
      <c r="L61" s="132">
        <f t="shared" si="4"/>
        <v>6.5</v>
      </c>
      <c r="M61" s="1"/>
      <c r="N61" s="1"/>
      <c r="O61" s="1"/>
      <c r="P61" s="1"/>
      <c r="Q61" s="1"/>
    </row>
    <row r="62" spans="3:11" ht="12.75">
      <c r="C62" s="2" t="s">
        <v>159</v>
      </c>
      <c r="E62" s="1"/>
      <c r="F62" s="1"/>
      <c r="G62" s="1"/>
      <c r="H62" s="1"/>
      <c r="I62" s="1"/>
      <c r="J62" s="1"/>
      <c r="K62" s="1"/>
    </row>
    <row r="63" spans="5:12" ht="12.75">
      <c r="E63" s="1"/>
      <c r="F63" s="1"/>
      <c r="G63" s="1"/>
      <c r="H63" s="1"/>
      <c r="I63" s="1"/>
      <c r="J63" s="1"/>
      <c r="K63" s="1"/>
      <c r="L63" s="1"/>
    </row>
    <row r="64" spans="5:11" ht="12.75">
      <c r="E64" s="1"/>
      <c r="F64" s="1"/>
      <c r="G64" s="1"/>
      <c r="H64" s="1"/>
      <c r="I64" s="1"/>
      <c r="J64" s="1"/>
      <c r="K64" s="1"/>
    </row>
    <row r="66" spans="5:13" ht="12.75">
      <c r="E66" s="96"/>
      <c r="F66" s="96"/>
      <c r="M66" s="62"/>
    </row>
  </sheetData>
  <sheetProtection/>
  <mergeCells count="20">
    <mergeCell ref="G6:L6"/>
    <mergeCell ref="G7:J7"/>
    <mergeCell ref="K7:L7"/>
    <mergeCell ref="L8:L9"/>
    <mergeCell ref="E8:E9"/>
    <mergeCell ref="F8:F9"/>
    <mergeCell ref="G8:G9"/>
    <mergeCell ref="H8:H9"/>
    <mergeCell ref="I8:J8"/>
    <mergeCell ref="K8:K9"/>
    <mergeCell ref="C1:L1"/>
    <mergeCell ref="C2:L2"/>
    <mergeCell ref="I3:L3"/>
    <mergeCell ref="J5:L5"/>
    <mergeCell ref="A4:K4"/>
    <mergeCell ref="A6:A9"/>
    <mergeCell ref="B6:B9"/>
    <mergeCell ref="C6:C9"/>
    <mergeCell ref="D6:D9"/>
    <mergeCell ref="E6:F7"/>
  </mergeCells>
  <printOptions/>
  <pageMargins left="0.31496062992125984" right="0" top="0.3937007874015748" bottom="0.3937007874015748" header="0.31496062992125984" footer="0.31496062992125984"/>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O64"/>
  <sheetViews>
    <sheetView zoomScalePageLayoutView="0" workbookViewId="0" topLeftCell="A1">
      <selection activeCell="N11" sqref="N11:O11"/>
    </sheetView>
  </sheetViews>
  <sheetFormatPr defaultColWidth="9.140625" defaultRowHeight="12.75"/>
  <cols>
    <col min="1" max="2" width="4.00390625" style="2" customWidth="1"/>
    <col min="3" max="3" width="53.140625" style="2" customWidth="1"/>
    <col min="4" max="4" width="10.57421875" style="5" customWidth="1"/>
    <col min="5" max="5" width="7.57421875" style="5" customWidth="1"/>
    <col min="6" max="6" width="8.00390625" style="5" customWidth="1"/>
    <col min="7" max="7" width="7.421875" style="5" customWidth="1"/>
    <col min="8" max="8" width="8.140625" style="5" customWidth="1"/>
    <col min="9" max="10" width="7.8515625" style="5" customWidth="1"/>
    <col min="11" max="11" width="6.57421875" style="5" customWidth="1"/>
    <col min="12" max="16384" width="9.140625" style="2" customWidth="1"/>
  </cols>
  <sheetData>
    <row r="1" spans="3:12" ht="15.75">
      <c r="C1" s="216" t="s">
        <v>654</v>
      </c>
      <c r="D1" s="217"/>
      <c r="E1" s="217"/>
      <c r="F1" s="217"/>
      <c r="G1" s="217"/>
      <c r="H1" s="217"/>
      <c r="I1" s="217"/>
      <c r="J1" s="217"/>
      <c r="K1" s="217"/>
      <c r="L1" s="244"/>
    </row>
    <row r="2" spans="3:12" ht="12.75">
      <c r="C2" s="216" t="s">
        <v>656</v>
      </c>
      <c r="D2" s="216"/>
      <c r="E2" s="216"/>
      <c r="F2" s="216"/>
      <c r="G2" s="216"/>
      <c r="H2" s="216"/>
      <c r="I2" s="216"/>
      <c r="J2" s="216"/>
      <c r="K2" s="216"/>
      <c r="L2" s="247"/>
    </row>
    <row r="3" spans="9:12" ht="15.75">
      <c r="I3" s="216" t="s">
        <v>200</v>
      </c>
      <c r="J3" s="217"/>
      <c r="K3" s="217"/>
      <c r="L3" s="218"/>
    </row>
    <row r="4" spans="1:11" ht="18.75" customHeight="1">
      <c r="A4" s="246" t="s">
        <v>276</v>
      </c>
      <c r="B4" s="246"/>
      <c r="C4" s="246"/>
      <c r="D4" s="246"/>
      <c r="E4" s="246"/>
      <c r="F4" s="246"/>
      <c r="G4" s="246"/>
      <c r="H4" s="246"/>
      <c r="I4" s="246"/>
      <c r="J4" s="246"/>
      <c r="K4" s="246"/>
    </row>
    <row r="5" spans="10:12" ht="12.75">
      <c r="J5" s="219" t="s">
        <v>256</v>
      </c>
      <c r="K5" s="220"/>
      <c r="L5" s="220"/>
    </row>
    <row r="6" spans="1:12" ht="19.5" customHeight="1">
      <c r="A6" s="234" t="s">
        <v>0</v>
      </c>
      <c r="B6" s="234" t="s">
        <v>649</v>
      </c>
      <c r="C6" s="234" t="s">
        <v>16</v>
      </c>
      <c r="D6" s="234" t="s">
        <v>100</v>
      </c>
      <c r="E6" s="227" t="s">
        <v>17</v>
      </c>
      <c r="F6" s="228"/>
      <c r="G6" s="221" t="s">
        <v>18</v>
      </c>
      <c r="H6" s="226"/>
      <c r="I6" s="226"/>
      <c r="J6" s="226"/>
      <c r="K6" s="226"/>
      <c r="L6" s="222"/>
    </row>
    <row r="7" spans="1:12" ht="22.5" customHeight="1">
      <c r="A7" s="234"/>
      <c r="B7" s="234"/>
      <c r="C7" s="234"/>
      <c r="D7" s="234"/>
      <c r="E7" s="229"/>
      <c r="F7" s="230"/>
      <c r="G7" s="221" t="s">
        <v>156</v>
      </c>
      <c r="H7" s="226"/>
      <c r="I7" s="226"/>
      <c r="J7" s="222"/>
      <c r="K7" s="221" t="s">
        <v>29</v>
      </c>
      <c r="L7" s="222"/>
    </row>
    <row r="8" spans="1:12" ht="31.5" customHeight="1">
      <c r="A8" s="234"/>
      <c r="B8" s="234"/>
      <c r="C8" s="234"/>
      <c r="D8" s="234"/>
      <c r="E8" s="223" t="s">
        <v>650</v>
      </c>
      <c r="F8" s="223" t="s">
        <v>651</v>
      </c>
      <c r="G8" s="223" t="s">
        <v>650</v>
      </c>
      <c r="H8" s="223" t="s">
        <v>651</v>
      </c>
      <c r="I8" s="221" t="s">
        <v>30</v>
      </c>
      <c r="J8" s="222"/>
      <c r="K8" s="223" t="s">
        <v>650</v>
      </c>
      <c r="L8" s="223" t="s">
        <v>651</v>
      </c>
    </row>
    <row r="9" spans="1:12" ht="30" customHeight="1">
      <c r="A9" s="234"/>
      <c r="B9" s="234"/>
      <c r="C9" s="234"/>
      <c r="D9" s="234"/>
      <c r="E9" s="224"/>
      <c r="F9" s="224"/>
      <c r="G9" s="224"/>
      <c r="H9" s="224"/>
      <c r="I9" s="42" t="s">
        <v>650</v>
      </c>
      <c r="J9" s="6" t="s">
        <v>651</v>
      </c>
      <c r="K9" s="224"/>
      <c r="L9" s="224"/>
    </row>
    <row r="10" spans="1:12" ht="12.75">
      <c r="A10" s="6">
        <v>1</v>
      </c>
      <c r="B10" s="6">
        <v>2</v>
      </c>
      <c r="C10" s="6">
        <v>3</v>
      </c>
      <c r="D10" s="6">
        <v>4</v>
      </c>
      <c r="E10" s="6">
        <v>5</v>
      </c>
      <c r="F10" s="6">
        <v>6</v>
      </c>
      <c r="G10" s="6">
        <v>7</v>
      </c>
      <c r="H10" s="6">
        <v>8</v>
      </c>
      <c r="I10" s="6">
        <v>9</v>
      </c>
      <c r="J10" s="6">
        <v>10</v>
      </c>
      <c r="K10" s="6">
        <v>11</v>
      </c>
      <c r="L10" s="31">
        <v>12</v>
      </c>
    </row>
    <row r="11" spans="1:13" ht="19.5" customHeight="1">
      <c r="A11" s="56">
        <v>1</v>
      </c>
      <c r="B11" s="7" t="s">
        <v>101</v>
      </c>
      <c r="C11" s="50" t="s">
        <v>102</v>
      </c>
      <c r="D11" s="65"/>
      <c r="E11" s="79">
        <f>+G11+K11</f>
        <v>139.7</v>
      </c>
      <c r="F11" s="79">
        <f>+H11+L11</f>
        <v>110.19999999999999</v>
      </c>
      <c r="G11" s="79">
        <f aca="true" t="shared" si="0" ref="G11:L11">SUM(G12:G33)</f>
        <v>135.7</v>
      </c>
      <c r="H11" s="79">
        <f t="shared" si="0"/>
        <v>106.6</v>
      </c>
      <c r="I11" s="79">
        <f t="shared" si="0"/>
        <v>17.7</v>
      </c>
      <c r="J11" s="79">
        <f t="shared" si="0"/>
        <v>17.3</v>
      </c>
      <c r="K11" s="79">
        <f t="shared" si="0"/>
        <v>4</v>
      </c>
      <c r="L11" s="79">
        <f t="shared" si="0"/>
        <v>3.6</v>
      </c>
      <c r="M11" s="1"/>
    </row>
    <row r="12" spans="1:13" ht="12" customHeight="1">
      <c r="A12" s="56">
        <v>2</v>
      </c>
      <c r="B12" s="7"/>
      <c r="C12" s="32" t="s">
        <v>615</v>
      </c>
      <c r="D12" s="9" t="s">
        <v>104</v>
      </c>
      <c r="E12" s="78">
        <f aca="true" t="shared" si="1" ref="E12:F58">+G12+K12</f>
        <v>0</v>
      </c>
      <c r="F12" s="78">
        <f t="shared" si="1"/>
        <v>0</v>
      </c>
      <c r="G12" s="78"/>
      <c r="H12" s="78"/>
      <c r="I12" s="79"/>
      <c r="J12" s="79"/>
      <c r="K12" s="79"/>
      <c r="L12" s="143"/>
      <c r="M12" s="1"/>
    </row>
    <row r="13" spans="1:12" ht="12" customHeight="1">
      <c r="A13" s="56">
        <v>3</v>
      </c>
      <c r="B13" s="17"/>
      <c r="C13" s="32" t="s">
        <v>616</v>
      </c>
      <c r="D13" s="9" t="s">
        <v>104</v>
      </c>
      <c r="E13" s="78">
        <f t="shared" si="1"/>
        <v>1</v>
      </c>
      <c r="F13" s="78">
        <f t="shared" si="1"/>
        <v>0.8</v>
      </c>
      <c r="G13" s="78">
        <v>1</v>
      </c>
      <c r="H13" s="78">
        <v>0.8</v>
      </c>
      <c r="I13" s="78"/>
      <c r="J13" s="78"/>
      <c r="K13" s="78"/>
      <c r="L13" s="143"/>
    </row>
    <row r="14" spans="1:12" ht="12" customHeight="1">
      <c r="A14" s="56">
        <v>4</v>
      </c>
      <c r="B14" s="17"/>
      <c r="C14" s="32" t="s">
        <v>77</v>
      </c>
      <c r="D14" s="9" t="s">
        <v>105</v>
      </c>
      <c r="E14" s="78">
        <f t="shared" si="1"/>
        <v>6</v>
      </c>
      <c r="F14" s="78">
        <f t="shared" si="1"/>
        <v>4.2</v>
      </c>
      <c r="G14" s="78">
        <f>9-3</f>
        <v>6</v>
      </c>
      <c r="H14" s="78">
        <v>4.2</v>
      </c>
      <c r="I14" s="78"/>
      <c r="J14" s="78"/>
      <c r="K14" s="78"/>
      <c r="L14" s="143"/>
    </row>
    <row r="15" spans="1:12" ht="12" customHeight="1">
      <c r="A15" s="56">
        <v>5</v>
      </c>
      <c r="B15" s="17"/>
      <c r="C15" s="32" t="s">
        <v>85</v>
      </c>
      <c r="D15" s="9" t="s">
        <v>105</v>
      </c>
      <c r="E15" s="78">
        <f t="shared" si="1"/>
        <v>2.0999999999999996</v>
      </c>
      <c r="F15" s="78">
        <f t="shared" si="1"/>
        <v>1.2</v>
      </c>
      <c r="G15" s="78">
        <f>2.8-0.7</f>
        <v>2.0999999999999996</v>
      </c>
      <c r="H15" s="78">
        <v>1.2</v>
      </c>
      <c r="I15" s="78"/>
      <c r="J15" s="78"/>
      <c r="K15" s="78"/>
      <c r="L15" s="143"/>
    </row>
    <row r="16" spans="1:12" ht="12" customHeight="1">
      <c r="A16" s="56">
        <v>6</v>
      </c>
      <c r="B16" s="17"/>
      <c r="C16" s="180" t="s">
        <v>267</v>
      </c>
      <c r="D16" s="9" t="s">
        <v>105</v>
      </c>
      <c r="E16" s="78">
        <f t="shared" si="1"/>
        <v>1</v>
      </c>
      <c r="F16" s="78">
        <f t="shared" si="1"/>
        <v>0.6</v>
      </c>
      <c r="G16" s="78">
        <f>1.6-0.6</f>
        <v>1</v>
      </c>
      <c r="H16" s="78">
        <v>0.6</v>
      </c>
      <c r="I16" s="78">
        <f>0.5-0.2</f>
        <v>0.3</v>
      </c>
      <c r="J16" s="78">
        <v>0.2</v>
      </c>
      <c r="K16" s="78"/>
      <c r="L16" s="143"/>
    </row>
    <row r="17" spans="1:12" ht="12" customHeight="1">
      <c r="A17" s="56">
        <v>7</v>
      </c>
      <c r="B17" s="17"/>
      <c r="C17" s="180" t="s">
        <v>268</v>
      </c>
      <c r="D17" s="9" t="s">
        <v>105</v>
      </c>
      <c r="E17" s="78">
        <f t="shared" si="1"/>
        <v>1</v>
      </c>
      <c r="F17" s="78">
        <f t="shared" si="1"/>
        <v>0.5</v>
      </c>
      <c r="G17" s="78">
        <f>2-1</f>
        <v>1</v>
      </c>
      <c r="H17" s="78">
        <v>0.5</v>
      </c>
      <c r="I17" s="78"/>
      <c r="J17" s="78"/>
      <c r="K17" s="78"/>
      <c r="L17" s="143"/>
    </row>
    <row r="18" spans="1:12" ht="12" customHeight="1">
      <c r="A18" s="56">
        <v>8</v>
      </c>
      <c r="B18" s="17"/>
      <c r="C18" s="180" t="s">
        <v>78</v>
      </c>
      <c r="D18" s="9" t="s">
        <v>105</v>
      </c>
      <c r="E18" s="78">
        <f t="shared" si="1"/>
        <v>4.6</v>
      </c>
      <c r="F18" s="78">
        <f t="shared" si="1"/>
        <v>3.5</v>
      </c>
      <c r="G18" s="78">
        <f>3.2+0.8</f>
        <v>4</v>
      </c>
      <c r="H18" s="78">
        <v>3.3</v>
      </c>
      <c r="I18" s="78"/>
      <c r="J18" s="78"/>
      <c r="K18" s="78">
        <v>0.6</v>
      </c>
      <c r="L18" s="143">
        <v>0.2</v>
      </c>
    </row>
    <row r="19" spans="1:12" ht="12" customHeight="1">
      <c r="A19" s="56">
        <v>9</v>
      </c>
      <c r="B19" s="17"/>
      <c r="C19" s="32" t="s">
        <v>273</v>
      </c>
      <c r="D19" s="9" t="s">
        <v>105</v>
      </c>
      <c r="E19" s="78">
        <f>+G19+K19</f>
        <v>1</v>
      </c>
      <c r="F19" s="78">
        <f>+H19+L19</f>
        <v>0.5</v>
      </c>
      <c r="G19" s="78">
        <f>3-2</f>
        <v>1</v>
      </c>
      <c r="H19" s="78">
        <v>0.5</v>
      </c>
      <c r="I19" s="78"/>
      <c r="J19" s="78"/>
      <c r="K19" s="78"/>
      <c r="L19" s="143"/>
    </row>
    <row r="20" spans="1:12" ht="12" customHeight="1">
      <c r="A20" s="56">
        <v>10</v>
      </c>
      <c r="B20" s="17"/>
      <c r="C20" s="180" t="s">
        <v>222</v>
      </c>
      <c r="D20" s="11" t="s">
        <v>157</v>
      </c>
      <c r="E20" s="78">
        <f t="shared" si="1"/>
        <v>20</v>
      </c>
      <c r="F20" s="78">
        <f t="shared" si="1"/>
        <v>18.2</v>
      </c>
      <c r="G20" s="78">
        <f>20</f>
        <v>20</v>
      </c>
      <c r="H20" s="78">
        <v>18.2</v>
      </c>
      <c r="I20" s="78"/>
      <c r="J20" s="78"/>
      <c r="K20" s="78"/>
      <c r="L20" s="143"/>
    </row>
    <row r="21" spans="1:12" ht="12" customHeight="1">
      <c r="A21" s="56">
        <v>11</v>
      </c>
      <c r="B21" s="17"/>
      <c r="C21" s="32" t="s">
        <v>224</v>
      </c>
      <c r="D21" s="11" t="s">
        <v>157</v>
      </c>
      <c r="E21" s="78">
        <f t="shared" si="1"/>
        <v>3</v>
      </c>
      <c r="F21" s="78">
        <f t="shared" si="1"/>
        <v>2.5</v>
      </c>
      <c r="G21" s="78">
        <f>3</f>
        <v>3</v>
      </c>
      <c r="H21" s="78">
        <v>2.5</v>
      </c>
      <c r="I21" s="78"/>
      <c r="J21" s="78"/>
      <c r="K21" s="78"/>
      <c r="L21" s="143"/>
    </row>
    <row r="22" spans="1:12" ht="12" customHeight="1">
      <c r="A22" s="56">
        <v>12</v>
      </c>
      <c r="B22" s="17"/>
      <c r="C22" s="180" t="s">
        <v>223</v>
      </c>
      <c r="D22" s="9" t="s">
        <v>106</v>
      </c>
      <c r="E22" s="78">
        <f t="shared" si="1"/>
        <v>0</v>
      </c>
      <c r="F22" s="78">
        <f t="shared" si="1"/>
        <v>0</v>
      </c>
      <c r="G22" s="78"/>
      <c r="H22" s="78"/>
      <c r="I22" s="78"/>
      <c r="J22" s="78"/>
      <c r="K22" s="78"/>
      <c r="L22" s="143"/>
    </row>
    <row r="23" spans="1:12" ht="12" customHeight="1">
      <c r="A23" s="56">
        <v>13</v>
      </c>
      <c r="B23" s="17"/>
      <c r="C23" s="180" t="s">
        <v>79</v>
      </c>
      <c r="D23" s="9" t="s">
        <v>106</v>
      </c>
      <c r="E23" s="78">
        <f t="shared" si="1"/>
        <v>0.29999999999999993</v>
      </c>
      <c r="F23" s="78">
        <f t="shared" si="1"/>
        <v>0.2</v>
      </c>
      <c r="G23" s="78">
        <f>0.7-0.4</f>
        <v>0.29999999999999993</v>
      </c>
      <c r="H23" s="78">
        <v>0.2</v>
      </c>
      <c r="I23" s="78"/>
      <c r="J23" s="78"/>
      <c r="K23" s="78"/>
      <c r="L23" s="143"/>
    </row>
    <row r="24" spans="1:12" ht="12" customHeight="1">
      <c r="A24" s="56">
        <v>14</v>
      </c>
      <c r="B24" s="17"/>
      <c r="C24" s="180" t="s">
        <v>270</v>
      </c>
      <c r="D24" s="9" t="s">
        <v>106</v>
      </c>
      <c r="E24" s="78">
        <f t="shared" si="1"/>
        <v>0.8999999999999999</v>
      </c>
      <c r="F24" s="78">
        <f t="shared" si="1"/>
        <v>0.3</v>
      </c>
      <c r="G24" s="78">
        <f>1.4-0.5</f>
        <v>0.8999999999999999</v>
      </c>
      <c r="H24" s="78">
        <v>0.3</v>
      </c>
      <c r="I24" s="78">
        <f>0.4-0.2</f>
        <v>0.2</v>
      </c>
      <c r="J24" s="78">
        <v>0</v>
      </c>
      <c r="K24" s="78"/>
      <c r="L24" s="143"/>
    </row>
    <row r="25" spans="1:12" ht="12" customHeight="1">
      <c r="A25" s="56">
        <v>15</v>
      </c>
      <c r="B25" s="17"/>
      <c r="C25" s="61" t="s">
        <v>271</v>
      </c>
      <c r="D25" s="9" t="s">
        <v>106</v>
      </c>
      <c r="E25" s="78">
        <f t="shared" si="1"/>
        <v>0.1</v>
      </c>
      <c r="F25" s="78">
        <f t="shared" si="1"/>
        <v>0</v>
      </c>
      <c r="G25" s="78">
        <f>0.2-0.1</f>
        <v>0.1</v>
      </c>
      <c r="H25" s="78">
        <v>0</v>
      </c>
      <c r="I25" s="78"/>
      <c r="J25" s="78"/>
      <c r="K25" s="78"/>
      <c r="L25" s="143"/>
    </row>
    <row r="26" spans="1:12" ht="12" customHeight="1">
      <c r="A26" s="56">
        <v>16</v>
      </c>
      <c r="B26" s="17"/>
      <c r="C26" s="61" t="s">
        <v>80</v>
      </c>
      <c r="D26" s="9" t="s">
        <v>106</v>
      </c>
      <c r="E26" s="78">
        <f t="shared" si="1"/>
        <v>1</v>
      </c>
      <c r="F26" s="78">
        <f t="shared" si="1"/>
        <v>0.6</v>
      </c>
      <c r="G26" s="78">
        <f>0.6+0.4</f>
        <v>1</v>
      </c>
      <c r="H26" s="78">
        <v>0.6</v>
      </c>
      <c r="I26" s="78"/>
      <c r="J26" s="78"/>
      <c r="K26" s="78"/>
      <c r="L26" s="143"/>
    </row>
    <row r="27" spans="1:12" ht="12" customHeight="1">
      <c r="A27" s="56">
        <v>17</v>
      </c>
      <c r="B27" s="17"/>
      <c r="C27" s="61" t="s">
        <v>272</v>
      </c>
      <c r="D27" s="9" t="s">
        <v>106</v>
      </c>
      <c r="E27" s="78">
        <f t="shared" si="1"/>
        <v>0.7</v>
      </c>
      <c r="F27" s="78">
        <f t="shared" si="1"/>
        <v>0.7</v>
      </c>
      <c r="G27" s="78">
        <f>0.4+0.3</f>
        <v>0.7</v>
      </c>
      <c r="H27" s="78">
        <v>0.7</v>
      </c>
      <c r="I27" s="78"/>
      <c r="J27" s="78"/>
      <c r="K27" s="78"/>
      <c r="L27" s="143"/>
    </row>
    <row r="28" spans="1:12" ht="12" customHeight="1">
      <c r="A28" s="56">
        <v>18</v>
      </c>
      <c r="B28" s="17"/>
      <c r="C28" s="180" t="s">
        <v>192</v>
      </c>
      <c r="D28" s="9" t="s">
        <v>105</v>
      </c>
      <c r="E28" s="78">
        <f>+G28+K28</f>
        <v>36.5</v>
      </c>
      <c r="F28" s="78">
        <f>+H28+L28</f>
        <v>29.6</v>
      </c>
      <c r="G28" s="78">
        <f>21+8.6+6.9</f>
        <v>36.5</v>
      </c>
      <c r="H28" s="78">
        <v>29.6</v>
      </c>
      <c r="I28" s="78">
        <f>8.6+8.6</f>
        <v>17.2</v>
      </c>
      <c r="J28" s="78">
        <v>17.1</v>
      </c>
      <c r="K28" s="78"/>
      <c r="L28" s="143"/>
    </row>
    <row r="29" spans="1:12" ht="12" customHeight="1">
      <c r="A29" s="56">
        <v>19</v>
      </c>
      <c r="B29" s="17"/>
      <c r="C29" s="32" t="s">
        <v>88</v>
      </c>
      <c r="D29" s="9" t="s">
        <v>106</v>
      </c>
      <c r="E29" s="78">
        <f>+G29+K29</f>
        <v>5.5</v>
      </c>
      <c r="F29" s="78">
        <f>+H29+L29</f>
        <v>5.3</v>
      </c>
      <c r="G29" s="78">
        <f>4+1.5</f>
        <v>5.5</v>
      </c>
      <c r="H29" s="78">
        <v>5.3</v>
      </c>
      <c r="I29" s="78"/>
      <c r="J29" s="78"/>
      <c r="K29" s="78"/>
      <c r="L29" s="143"/>
    </row>
    <row r="30" spans="1:12" ht="12" customHeight="1">
      <c r="A30" s="56">
        <v>20</v>
      </c>
      <c r="B30" s="17"/>
      <c r="C30" s="32" t="s">
        <v>86</v>
      </c>
      <c r="D30" s="11" t="s">
        <v>107</v>
      </c>
      <c r="E30" s="78">
        <f t="shared" si="1"/>
        <v>0.3</v>
      </c>
      <c r="F30" s="78">
        <f t="shared" si="1"/>
        <v>0.3</v>
      </c>
      <c r="G30" s="78">
        <f>0.3</f>
        <v>0.3</v>
      </c>
      <c r="H30" s="78">
        <v>0.3</v>
      </c>
      <c r="I30" s="78"/>
      <c r="J30" s="78"/>
      <c r="K30" s="78"/>
      <c r="L30" s="143"/>
    </row>
    <row r="31" spans="1:12" ht="12" customHeight="1">
      <c r="A31" s="56">
        <v>21</v>
      </c>
      <c r="B31" s="17"/>
      <c r="C31" s="66" t="s">
        <v>87</v>
      </c>
      <c r="D31" s="11" t="s">
        <v>107</v>
      </c>
      <c r="E31" s="78">
        <f t="shared" si="1"/>
        <v>6.2</v>
      </c>
      <c r="F31" s="78">
        <f t="shared" si="1"/>
        <v>5.4</v>
      </c>
      <c r="G31" s="78">
        <f>2.5+0.3</f>
        <v>2.8</v>
      </c>
      <c r="H31" s="78">
        <v>2</v>
      </c>
      <c r="I31" s="78"/>
      <c r="J31" s="78"/>
      <c r="K31" s="78">
        <f>1.2+2.2</f>
        <v>3.4000000000000004</v>
      </c>
      <c r="L31" s="143">
        <v>3.4</v>
      </c>
    </row>
    <row r="32" spans="1:12" ht="12" customHeight="1">
      <c r="A32" s="56">
        <v>22</v>
      </c>
      <c r="B32" s="17"/>
      <c r="C32" s="32" t="s">
        <v>193</v>
      </c>
      <c r="D32" s="11" t="s">
        <v>107</v>
      </c>
      <c r="E32" s="78">
        <f t="shared" si="1"/>
        <v>30</v>
      </c>
      <c r="F32" s="78">
        <f t="shared" si="1"/>
        <v>24</v>
      </c>
      <c r="G32" s="78">
        <f>30</f>
        <v>30</v>
      </c>
      <c r="H32" s="78">
        <v>24</v>
      </c>
      <c r="I32" s="78"/>
      <c r="J32" s="78"/>
      <c r="K32" s="78"/>
      <c r="L32" s="143"/>
    </row>
    <row r="33" spans="1:12" ht="12" customHeight="1">
      <c r="A33" s="56">
        <v>23</v>
      </c>
      <c r="B33" s="17"/>
      <c r="C33" s="66" t="s">
        <v>170</v>
      </c>
      <c r="D33" s="9" t="s">
        <v>171</v>
      </c>
      <c r="E33" s="78">
        <f t="shared" si="1"/>
        <v>18.5</v>
      </c>
      <c r="F33" s="78">
        <f t="shared" si="1"/>
        <v>11.8</v>
      </c>
      <c r="G33" s="78">
        <f>18.5</f>
        <v>18.5</v>
      </c>
      <c r="H33" s="78">
        <v>11.8</v>
      </c>
      <c r="I33" s="78"/>
      <c r="J33" s="78"/>
      <c r="K33" s="78"/>
      <c r="L33" s="143"/>
    </row>
    <row r="34" spans="1:12" ht="19.5" customHeight="1">
      <c r="A34" s="56">
        <v>24</v>
      </c>
      <c r="B34" s="7" t="s">
        <v>112</v>
      </c>
      <c r="C34" s="10" t="s">
        <v>113</v>
      </c>
      <c r="D34" s="9"/>
      <c r="E34" s="79">
        <f>+G34+K34</f>
        <v>11.4</v>
      </c>
      <c r="F34" s="79">
        <f>+H34+L34</f>
        <v>11.3</v>
      </c>
      <c r="G34" s="79">
        <f>SUM(G35:G35)</f>
        <v>11.4</v>
      </c>
      <c r="H34" s="79">
        <f>SUM(H35:H35)</f>
        <v>11.3</v>
      </c>
      <c r="I34" s="79">
        <f>SUM(I35:I35)</f>
        <v>4</v>
      </c>
      <c r="J34" s="79">
        <f>SUM(J35:J35)</f>
        <v>4</v>
      </c>
      <c r="K34" s="79">
        <f>SUM(K35:K35)</f>
        <v>0</v>
      </c>
      <c r="L34" s="157">
        <v>0</v>
      </c>
    </row>
    <row r="35" spans="1:12" ht="19.5" customHeight="1">
      <c r="A35" s="56">
        <v>25</v>
      </c>
      <c r="B35" s="17"/>
      <c r="C35" s="178" t="s">
        <v>94</v>
      </c>
      <c r="D35" s="71" t="s">
        <v>114</v>
      </c>
      <c r="E35" s="78">
        <f t="shared" si="1"/>
        <v>11.4</v>
      </c>
      <c r="F35" s="78">
        <f t="shared" si="1"/>
        <v>11.3</v>
      </c>
      <c r="G35" s="78">
        <f>7+4.4</f>
        <v>11.4</v>
      </c>
      <c r="H35" s="78">
        <v>11.3</v>
      </c>
      <c r="I35" s="78">
        <v>4</v>
      </c>
      <c r="J35" s="78">
        <v>4</v>
      </c>
      <c r="K35" s="78"/>
      <c r="L35" s="143"/>
    </row>
    <row r="36" spans="1:12" ht="19.5" customHeight="1">
      <c r="A36" s="56">
        <v>26</v>
      </c>
      <c r="B36" s="7" t="s">
        <v>21</v>
      </c>
      <c r="C36" s="10" t="s">
        <v>22</v>
      </c>
      <c r="D36" s="71"/>
      <c r="E36" s="79">
        <f>+G36+K36</f>
        <v>15.9</v>
      </c>
      <c r="F36" s="79">
        <f>+H36+L36</f>
        <v>15.2</v>
      </c>
      <c r="G36" s="79">
        <f>SUM(G37:G38)</f>
        <v>15.9</v>
      </c>
      <c r="H36" s="79">
        <f>SUM(H37:H38)</f>
        <v>15.2</v>
      </c>
      <c r="I36" s="79">
        <f>SUM(I37:I37)</f>
        <v>0</v>
      </c>
      <c r="J36" s="79">
        <v>0</v>
      </c>
      <c r="K36" s="79">
        <f>SUM(K37:K37)</f>
        <v>0</v>
      </c>
      <c r="L36" s="157">
        <v>0</v>
      </c>
    </row>
    <row r="37" spans="1:12" ht="27" customHeight="1">
      <c r="A37" s="56">
        <v>27</v>
      </c>
      <c r="B37" s="17"/>
      <c r="C37" s="40" t="s">
        <v>1</v>
      </c>
      <c r="D37" s="28" t="s">
        <v>160</v>
      </c>
      <c r="E37" s="78">
        <f t="shared" si="1"/>
        <v>15.9</v>
      </c>
      <c r="F37" s="78">
        <f t="shared" si="1"/>
        <v>15.2</v>
      </c>
      <c r="G37" s="78">
        <f>13.4+2.5</f>
        <v>15.9</v>
      </c>
      <c r="H37" s="78">
        <v>15.2</v>
      </c>
      <c r="I37" s="78"/>
      <c r="J37" s="78"/>
      <c r="K37" s="78"/>
      <c r="L37" s="143"/>
    </row>
    <row r="38" spans="1:12" ht="12.75" customHeight="1">
      <c r="A38" s="56">
        <v>28</v>
      </c>
      <c r="B38" s="17"/>
      <c r="C38" s="40" t="s">
        <v>4</v>
      </c>
      <c r="D38" s="28" t="s">
        <v>285</v>
      </c>
      <c r="E38" s="78">
        <f t="shared" si="1"/>
        <v>0</v>
      </c>
      <c r="F38" s="78">
        <f t="shared" si="1"/>
        <v>0</v>
      </c>
      <c r="G38" s="78">
        <f>0.3-0.3</f>
        <v>0</v>
      </c>
      <c r="H38" s="78"/>
      <c r="I38" s="78"/>
      <c r="J38" s="78"/>
      <c r="K38" s="78"/>
      <c r="L38" s="143"/>
    </row>
    <row r="39" spans="1:12" ht="19.5" customHeight="1">
      <c r="A39" s="56">
        <v>29</v>
      </c>
      <c r="B39" s="7" t="s">
        <v>129</v>
      </c>
      <c r="C39" s="10" t="s">
        <v>130</v>
      </c>
      <c r="D39" s="9"/>
      <c r="E39" s="79">
        <f>+G39+K39</f>
        <v>40.5</v>
      </c>
      <c r="F39" s="79">
        <f>+H39+L39</f>
        <v>30.799999999999997</v>
      </c>
      <c r="G39" s="79">
        <f>SUM(G40:G46)</f>
        <v>40.5</v>
      </c>
      <c r="H39" s="79">
        <f>SUM(H40:H46)</f>
        <v>30.799999999999997</v>
      </c>
      <c r="I39" s="79">
        <f>SUM(I40:I46)</f>
        <v>0</v>
      </c>
      <c r="J39" s="79">
        <v>0</v>
      </c>
      <c r="K39" s="79">
        <f>SUM(K40:K46)</f>
        <v>0</v>
      </c>
      <c r="L39" s="157">
        <v>0</v>
      </c>
    </row>
    <row r="40" spans="1:12" ht="12" customHeight="1">
      <c r="A40" s="56">
        <v>30</v>
      </c>
      <c r="B40" s="17"/>
      <c r="C40" s="66" t="s">
        <v>82</v>
      </c>
      <c r="D40" s="9" t="s">
        <v>131</v>
      </c>
      <c r="E40" s="78">
        <f t="shared" si="1"/>
        <v>10</v>
      </c>
      <c r="F40" s="78">
        <f t="shared" si="1"/>
        <v>10</v>
      </c>
      <c r="G40" s="78">
        <v>10</v>
      </c>
      <c r="H40" s="78">
        <v>10</v>
      </c>
      <c r="I40" s="78"/>
      <c r="J40" s="78"/>
      <c r="K40" s="78"/>
      <c r="L40" s="143"/>
    </row>
    <row r="41" spans="1:12" ht="12" customHeight="1">
      <c r="A41" s="56">
        <v>31</v>
      </c>
      <c r="B41" s="17"/>
      <c r="C41" s="66" t="s">
        <v>89</v>
      </c>
      <c r="D41" s="9" t="s">
        <v>131</v>
      </c>
      <c r="E41" s="78">
        <f t="shared" si="1"/>
        <v>0.30000000000000004</v>
      </c>
      <c r="F41" s="78">
        <f t="shared" si="1"/>
        <v>0.2</v>
      </c>
      <c r="G41" s="78">
        <f>0.8-0.5</f>
        <v>0.30000000000000004</v>
      </c>
      <c r="H41" s="78">
        <v>0.2</v>
      </c>
      <c r="I41" s="78"/>
      <c r="J41" s="78"/>
      <c r="K41" s="78"/>
      <c r="L41" s="143"/>
    </row>
    <row r="42" spans="1:12" ht="12" customHeight="1">
      <c r="A42" s="56">
        <v>32</v>
      </c>
      <c r="B42" s="17"/>
      <c r="C42" s="66" t="s">
        <v>90</v>
      </c>
      <c r="D42" s="9" t="s">
        <v>131</v>
      </c>
      <c r="E42" s="78">
        <f t="shared" si="1"/>
        <v>3.5</v>
      </c>
      <c r="F42" s="78">
        <f t="shared" si="1"/>
        <v>2.1</v>
      </c>
      <c r="G42" s="78">
        <f>4-0.5</f>
        <v>3.5</v>
      </c>
      <c r="H42" s="78">
        <v>2.1</v>
      </c>
      <c r="I42" s="78"/>
      <c r="J42" s="78"/>
      <c r="K42" s="78"/>
      <c r="L42" s="143"/>
    </row>
    <row r="43" spans="1:12" ht="12" customHeight="1">
      <c r="A43" s="56">
        <v>33</v>
      </c>
      <c r="B43" s="17"/>
      <c r="C43" s="66" t="s">
        <v>91</v>
      </c>
      <c r="D43" s="9" t="s">
        <v>131</v>
      </c>
      <c r="E43" s="78">
        <f t="shared" si="1"/>
        <v>0.6</v>
      </c>
      <c r="F43" s="78">
        <f t="shared" si="1"/>
        <v>0.6</v>
      </c>
      <c r="G43" s="78">
        <f>0.5+0.1</f>
        <v>0.6</v>
      </c>
      <c r="H43" s="78">
        <v>0.6</v>
      </c>
      <c r="I43" s="78"/>
      <c r="J43" s="78"/>
      <c r="K43" s="78"/>
      <c r="L43" s="143"/>
    </row>
    <row r="44" spans="1:12" ht="12" customHeight="1">
      <c r="A44" s="56">
        <v>34</v>
      </c>
      <c r="B44" s="17"/>
      <c r="C44" s="66" t="s">
        <v>92</v>
      </c>
      <c r="D44" s="9" t="s">
        <v>131</v>
      </c>
      <c r="E44" s="78">
        <f t="shared" si="1"/>
        <v>0.1</v>
      </c>
      <c r="F44" s="78">
        <f t="shared" si="1"/>
        <v>0.1</v>
      </c>
      <c r="G44" s="78">
        <v>0.1</v>
      </c>
      <c r="H44" s="78">
        <v>0.1</v>
      </c>
      <c r="I44" s="78"/>
      <c r="J44" s="78"/>
      <c r="K44" s="78"/>
      <c r="L44" s="143"/>
    </row>
    <row r="45" spans="1:12" ht="12" customHeight="1">
      <c r="A45" s="56">
        <v>35</v>
      </c>
      <c r="B45" s="17"/>
      <c r="C45" s="178" t="s">
        <v>93</v>
      </c>
      <c r="D45" s="71" t="s">
        <v>132</v>
      </c>
      <c r="E45" s="78">
        <f aca="true" t="shared" si="2" ref="E45:F48">+G45+K45</f>
        <v>1.5</v>
      </c>
      <c r="F45" s="78">
        <f t="shared" si="2"/>
        <v>0.7</v>
      </c>
      <c r="G45" s="78">
        <f>1.5</f>
        <v>1.5</v>
      </c>
      <c r="H45" s="78">
        <v>0.7</v>
      </c>
      <c r="I45" s="78"/>
      <c r="J45" s="78"/>
      <c r="K45" s="78"/>
      <c r="L45" s="143"/>
    </row>
    <row r="46" spans="1:12" ht="12" customHeight="1">
      <c r="A46" s="56">
        <v>36</v>
      </c>
      <c r="B46" s="17"/>
      <c r="C46" s="66" t="s">
        <v>81</v>
      </c>
      <c r="D46" s="11" t="s">
        <v>133</v>
      </c>
      <c r="E46" s="78">
        <f t="shared" si="2"/>
        <v>24.5</v>
      </c>
      <c r="F46" s="78">
        <f t="shared" si="2"/>
        <v>17.1</v>
      </c>
      <c r="G46" s="78">
        <f>12+12.5</f>
        <v>24.5</v>
      </c>
      <c r="H46" s="78">
        <v>17.1</v>
      </c>
      <c r="I46" s="78"/>
      <c r="J46" s="78"/>
      <c r="K46" s="78"/>
      <c r="L46" s="143"/>
    </row>
    <row r="47" spans="1:12" ht="19.5" customHeight="1">
      <c r="A47" s="56">
        <v>37</v>
      </c>
      <c r="B47" s="7" t="s">
        <v>140</v>
      </c>
      <c r="C47" s="10" t="s">
        <v>141</v>
      </c>
      <c r="D47" s="71"/>
      <c r="E47" s="79">
        <f t="shared" si="2"/>
        <v>6.8999999999999995</v>
      </c>
      <c r="F47" s="79">
        <f t="shared" si="2"/>
        <v>5.6</v>
      </c>
      <c r="G47" s="79">
        <f>SUM(G48:G53)</f>
        <v>6.8999999999999995</v>
      </c>
      <c r="H47" s="79">
        <f>SUM(H48:H53)</f>
        <v>5.6</v>
      </c>
      <c r="I47" s="79">
        <f>SUM(I48:I53)</f>
        <v>0</v>
      </c>
      <c r="J47" s="79">
        <v>0</v>
      </c>
      <c r="K47" s="79">
        <f>SUM(K48:K53)</f>
        <v>0</v>
      </c>
      <c r="L47" s="157">
        <v>0</v>
      </c>
    </row>
    <row r="48" spans="1:12" ht="19.5" customHeight="1">
      <c r="A48" s="56">
        <v>38</v>
      </c>
      <c r="B48" s="7"/>
      <c r="C48" s="40" t="s">
        <v>4</v>
      </c>
      <c r="D48" s="28" t="s">
        <v>161</v>
      </c>
      <c r="E48" s="78">
        <f t="shared" si="2"/>
        <v>0.3</v>
      </c>
      <c r="F48" s="78">
        <f t="shared" si="2"/>
        <v>0.2</v>
      </c>
      <c r="G48" s="78">
        <v>0.3</v>
      </c>
      <c r="H48" s="78">
        <v>0.2</v>
      </c>
      <c r="I48" s="78"/>
      <c r="J48" s="78"/>
      <c r="K48" s="78"/>
      <c r="L48" s="143"/>
    </row>
    <row r="49" spans="1:12" ht="12" customHeight="1">
      <c r="A49" s="56">
        <v>39</v>
      </c>
      <c r="B49" s="17"/>
      <c r="C49" s="40" t="s">
        <v>5</v>
      </c>
      <c r="D49" s="28" t="s">
        <v>161</v>
      </c>
      <c r="E49" s="78">
        <f t="shared" si="1"/>
        <v>2.9</v>
      </c>
      <c r="F49" s="78">
        <f t="shared" si="1"/>
        <v>2.5</v>
      </c>
      <c r="G49" s="78">
        <v>2.9</v>
      </c>
      <c r="H49" s="78">
        <v>2.5</v>
      </c>
      <c r="I49" s="78"/>
      <c r="J49" s="78"/>
      <c r="K49" s="78"/>
      <c r="L49" s="143"/>
    </row>
    <row r="50" spans="1:12" ht="24" customHeight="1">
      <c r="A50" s="56">
        <v>40</v>
      </c>
      <c r="B50" s="7"/>
      <c r="C50" s="40" t="s">
        <v>7</v>
      </c>
      <c r="D50" s="194" t="s">
        <v>142</v>
      </c>
      <c r="E50" s="78">
        <f>+G50+K50</f>
        <v>1.9</v>
      </c>
      <c r="F50" s="78">
        <f>+H50+L50</f>
        <v>1.8</v>
      </c>
      <c r="G50" s="78">
        <v>1.9</v>
      </c>
      <c r="H50" s="78">
        <v>1.8</v>
      </c>
      <c r="I50" s="78"/>
      <c r="J50" s="78"/>
      <c r="K50" s="78"/>
      <c r="L50" s="143"/>
    </row>
    <row r="51" spans="1:12" ht="12" customHeight="1">
      <c r="A51" s="56">
        <v>41</v>
      </c>
      <c r="B51" s="17"/>
      <c r="C51" s="178" t="s">
        <v>6</v>
      </c>
      <c r="D51" s="28" t="s">
        <v>143</v>
      </c>
      <c r="E51" s="78">
        <f t="shared" si="1"/>
        <v>0.7</v>
      </c>
      <c r="F51" s="78">
        <f t="shared" si="1"/>
        <v>0.6</v>
      </c>
      <c r="G51" s="78">
        <f>0.2+0.5</f>
        <v>0.7</v>
      </c>
      <c r="H51" s="78">
        <v>0.6</v>
      </c>
      <c r="I51" s="78"/>
      <c r="J51" s="78"/>
      <c r="K51" s="78"/>
      <c r="L51" s="143"/>
    </row>
    <row r="52" spans="1:12" ht="12" customHeight="1">
      <c r="A52" s="56">
        <v>42</v>
      </c>
      <c r="B52" s="17"/>
      <c r="C52" s="40" t="s">
        <v>12</v>
      </c>
      <c r="D52" s="28" t="s">
        <v>143</v>
      </c>
      <c r="E52" s="78">
        <f>+G52+K52</f>
        <v>0.6</v>
      </c>
      <c r="F52" s="78">
        <f>+H52+L52</f>
        <v>0.1</v>
      </c>
      <c r="G52" s="78">
        <v>0.6</v>
      </c>
      <c r="H52" s="78">
        <v>0.1</v>
      </c>
      <c r="I52" s="78"/>
      <c r="J52" s="78"/>
      <c r="K52" s="78"/>
      <c r="L52" s="143"/>
    </row>
    <row r="53" spans="1:12" ht="12" customHeight="1">
      <c r="A53" s="56">
        <v>43</v>
      </c>
      <c r="B53" s="7"/>
      <c r="C53" s="40" t="s">
        <v>11</v>
      </c>
      <c r="D53" s="71" t="s">
        <v>158</v>
      </c>
      <c r="E53" s="78">
        <f t="shared" si="1"/>
        <v>0.5</v>
      </c>
      <c r="F53" s="78">
        <f t="shared" si="1"/>
        <v>0.4</v>
      </c>
      <c r="G53" s="78">
        <v>0.5</v>
      </c>
      <c r="H53" s="78">
        <v>0.4</v>
      </c>
      <c r="I53" s="78"/>
      <c r="J53" s="78"/>
      <c r="K53" s="78"/>
      <c r="L53" s="143"/>
    </row>
    <row r="54" spans="1:12" ht="19.5" customHeight="1">
      <c r="A54" s="56">
        <v>44</v>
      </c>
      <c r="B54" s="7" t="s">
        <v>25</v>
      </c>
      <c r="C54" s="10" t="s">
        <v>26</v>
      </c>
      <c r="D54" s="28"/>
      <c r="E54" s="79">
        <f>+G54+K54</f>
        <v>2.4</v>
      </c>
      <c r="F54" s="79">
        <f>+H54+L54</f>
        <v>1.5</v>
      </c>
      <c r="G54" s="79">
        <f>SUM(G55:G58)</f>
        <v>2.4</v>
      </c>
      <c r="H54" s="79">
        <f>SUM(H55:H58)</f>
        <v>1.5</v>
      </c>
      <c r="I54" s="79">
        <f>SUM(I55:I58)</f>
        <v>0</v>
      </c>
      <c r="J54" s="79">
        <v>0</v>
      </c>
      <c r="K54" s="79">
        <f>SUM(K55:K58)</f>
        <v>0</v>
      </c>
      <c r="L54" s="157">
        <v>0</v>
      </c>
    </row>
    <row r="55" spans="1:12" ht="12" customHeight="1">
      <c r="A55" s="56">
        <v>45</v>
      </c>
      <c r="B55" s="7"/>
      <c r="C55" s="180" t="s">
        <v>27</v>
      </c>
      <c r="D55" s="11" t="s">
        <v>28</v>
      </c>
      <c r="E55" s="78">
        <f t="shared" si="1"/>
        <v>0.6</v>
      </c>
      <c r="F55" s="78">
        <f t="shared" si="1"/>
        <v>0.6</v>
      </c>
      <c r="G55" s="78">
        <f>1-0.4</f>
        <v>0.6</v>
      </c>
      <c r="H55" s="78">
        <v>0.6</v>
      </c>
      <c r="I55" s="79"/>
      <c r="J55" s="79"/>
      <c r="K55" s="79"/>
      <c r="L55" s="143"/>
    </row>
    <row r="56" spans="1:12" ht="12" customHeight="1">
      <c r="A56" s="56">
        <v>46</v>
      </c>
      <c r="B56" s="83"/>
      <c r="C56" s="195" t="s">
        <v>8</v>
      </c>
      <c r="D56" s="28" t="s">
        <v>191</v>
      </c>
      <c r="E56" s="78">
        <f>+G56+K56</f>
        <v>0.5</v>
      </c>
      <c r="F56" s="78">
        <f>+H56+L56</f>
        <v>0</v>
      </c>
      <c r="G56" s="78">
        <v>0.5</v>
      </c>
      <c r="H56" s="78">
        <v>0</v>
      </c>
      <c r="I56" s="78"/>
      <c r="J56" s="78"/>
      <c r="K56" s="78"/>
      <c r="L56" s="143"/>
    </row>
    <row r="57" spans="1:12" ht="12" customHeight="1">
      <c r="A57" s="56">
        <v>47</v>
      </c>
      <c r="B57" s="83"/>
      <c r="C57" s="196" t="s">
        <v>5</v>
      </c>
      <c r="D57" s="28" t="s">
        <v>190</v>
      </c>
      <c r="E57" s="78">
        <f t="shared" si="1"/>
        <v>0.9</v>
      </c>
      <c r="F57" s="78">
        <f t="shared" si="1"/>
        <v>0.8</v>
      </c>
      <c r="G57" s="78">
        <v>0.9</v>
      </c>
      <c r="H57" s="78">
        <v>0.8</v>
      </c>
      <c r="I57" s="78"/>
      <c r="J57" s="78"/>
      <c r="K57" s="78"/>
      <c r="L57" s="143"/>
    </row>
    <row r="58" spans="1:12" ht="12" customHeight="1">
      <c r="A58" s="56">
        <v>48</v>
      </c>
      <c r="B58" s="17"/>
      <c r="C58" s="197" t="s">
        <v>9</v>
      </c>
      <c r="D58" s="28" t="s">
        <v>190</v>
      </c>
      <c r="E58" s="78">
        <f t="shared" si="1"/>
        <v>0.4</v>
      </c>
      <c r="F58" s="78">
        <f t="shared" si="1"/>
        <v>0.1</v>
      </c>
      <c r="G58" s="78">
        <v>0.4</v>
      </c>
      <c r="H58" s="78">
        <v>0.1</v>
      </c>
      <c r="I58" s="78"/>
      <c r="J58" s="78"/>
      <c r="K58" s="78"/>
      <c r="L58" s="143"/>
    </row>
    <row r="59" spans="1:15" ht="12" customHeight="1">
      <c r="A59" s="56">
        <v>49</v>
      </c>
      <c r="B59" s="17"/>
      <c r="C59" s="107" t="s">
        <v>20</v>
      </c>
      <c r="D59" s="71"/>
      <c r="E59" s="79">
        <f>+G59+K59</f>
        <v>216.8</v>
      </c>
      <c r="F59" s="79">
        <f>+H59+L59</f>
        <v>174.59999999999997</v>
      </c>
      <c r="G59" s="79">
        <f aca="true" t="shared" si="3" ref="G59:L59">+G11+G34+G36+G39+G47+G54</f>
        <v>212.8</v>
      </c>
      <c r="H59" s="79">
        <f t="shared" si="3"/>
        <v>170.99999999999997</v>
      </c>
      <c r="I59" s="79">
        <f t="shared" si="3"/>
        <v>21.7</v>
      </c>
      <c r="J59" s="79">
        <f t="shared" si="3"/>
        <v>21.3</v>
      </c>
      <c r="K59" s="79">
        <f t="shared" si="3"/>
        <v>4</v>
      </c>
      <c r="L59" s="79">
        <f t="shared" si="3"/>
        <v>3.6</v>
      </c>
      <c r="M59" s="1"/>
      <c r="N59" s="1"/>
      <c r="O59" s="1"/>
    </row>
    <row r="60" spans="4:11" ht="12.75">
      <c r="D60" s="15"/>
      <c r="E60" s="16"/>
      <c r="F60" s="16"/>
      <c r="G60" s="16"/>
      <c r="H60" s="16"/>
      <c r="I60" s="16"/>
      <c r="J60" s="16"/>
      <c r="K60" s="16"/>
    </row>
    <row r="61" spans="3:11" ht="12.75">
      <c r="C61" s="2" t="s">
        <v>162</v>
      </c>
      <c r="E61" s="34"/>
      <c r="F61" s="34"/>
      <c r="G61" s="34"/>
      <c r="H61" s="34"/>
      <c r="I61" s="34"/>
      <c r="J61" s="34"/>
      <c r="K61" s="34"/>
    </row>
    <row r="62" spans="5:11" ht="12.75">
      <c r="E62" s="88"/>
      <c r="F62" s="88"/>
      <c r="G62" s="34"/>
      <c r="H62" s="34"/>
      <c r="I62" s="34"/>
      <c r="J62" s="34"/>
      <c r="K62" s="34"/>
    </row>
    <row r="64" spans="5:6" ht="12.75">
      <c r="E64" s="105"/>
      <c r="F64" s="105"/>
    </row>
  </sheetData>
  <sheetProtection/>
  <mergeCells count="20">
    <mergeCell ref="L8:L9"/>
    <mergeCell ref="C6:C9"/>
    <mergeCell ref="D6:D9"/>
    <mergeCell ref="E6:F7"/>
    <mergeCell ref="G6:L6"/>
    <mergeCell ref="G7:J7"/>
    <mergeCell ref="K7:L7"/>
    <mergeCell ref="E8:E9"/>
    <mergeCell ref="F8:F9"/>
    <mergeCell ref="G8:G9"/>
    <mergeCell ref="C1:L1"/>
    <mergeCell ref="J5:L5"/>
    <mergeCell ref="K8:K9"/>
    <mergeCell ref="A4:K4"/>
    <mergeCell ref="A6:A9"/>
    <mergeCell ref="B6:B9"/>
    <mergeCell ref="H8:H9"/>
    <mergeCell ref="I8:J8"/>
    <mergeCell ref="I3:L3"/>
    <mergeCell ref="C2:L2"/>
  </mergeCells>
  <printOptions/>
  <pageMargins left="0.31496062992125984" right="0" top="0.3937007874015748" bottom="0.3937007874015748"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O51"/>
  <sheetViews>
    <sheetView zoomScalePageLayoutView="0" workbookViewId="0" topLeftCell="A1">
      <selection activeCell="C29" sqref="C29"/>
    </sheetView>
  </sheetViews>
  <sheetFormatPr defaultColWidth="9.140625" defaultRowHeight="12.75"/>
  <cols>
    <col min="1" max="2" width="4.421875" style="2" customWidth="1"/>
    <col min="3" max="3" width="47.00390625" style="2" customWidth="1"/>
    <col min="4" max="4" width="10.140625" style="5" customWidth="1"/>
    <col min="5" max="6" width="8.140625" style="5" customWidth="1"/>
    <col min="7" max="8" width="8.00390625" style="5" customWidth="1"/>
    <col min="9" max="10" width="8.8515625" style="5" customWidth="1"/>
    <col min="11" max="11" width="6.8515625" style="5" customWidth="1"/>
    <col min="12" max="16384" width="9.140625" style="2" customWidth="1"/>
  </cols>
  <sheetData>
    <row r="1" spans="8:12" ht="15" customHeight="1">
      <c r="H1" s="216" t="s">
        <v>654</v>
      </c>
      <c r="I1" s="218"/>
      <c r="J1" s="218"/>
      <c r="K1" s="218"/>
      <c r="L1" s="218"/>
    </row>
    <row r="2" spans="5:12" ht="15.75">
      <c r="E2" s="26"/>
      <c r="F2" s="26"/>
      <c r="G2" s="26"/>
      <c r="H2" s="216" t="s">
        <v>656</v>
      </c>
      <c r="I2" s="244"/>
      <c r="J2" s="244"/>
      <c r="K2" s="244"/>
      <c r="L2" s="244"/>
    </row>
    <row r="3" spans="5:12" ht="12.75" customHeight="1">
      <c r="E3" s="26"/>
      <c r="F3" s="26"/>
      <c r="G3" s="26"/>
      <c r="H3" s="26"/>
      <c r="I3" s="26"/>
      <c r="J3" s="26"/>
      <c r="K3" s="216" t="s">
        <v>201</v>
      </c>
      <c r="L3" s="218"/>
    </row>
    <row r="4" spans="2:11" ht="12" customHeight="1">
      <c r="B4" s="246" t="s">
        <v>289</v>
      </c>
      <c r="C4" s="246"/>
      <c r="D4" s="246"/>
      <c r="E4" s="246"/>
      <c r="F4" s="246"/>
      <c r="G4" s="246"/>
      <c r="H4" s="246"/>
      <c r="I4" s="246"/>
      <c r="J4" s="246"/>
      <c r="K4" s="246"/>
    </row>
    <row r="5" spans="10:12" ht="11.25" customHeight="1">
      <c r="J5" s="219" t="s">
        <v>256</v>
      </c>
      <c r="K5" s="220"/>
      <c r="L5" s="220"/>
    </row>
    <row r="6" spans="1:12" ht="12.75" customHeight="1">
      <c r="A6" s="234" t="s">
        <v>0</v>
      </c>
      <c r="B6" s="234" t="s">
        <v>649</v>
      </c>
      <c r="C6" s="234" t="s">
        <v>16</v>
      </c>
      <c r="D6" s="234" t="s">
        <v>100</v>
      </c>
      <c r="E6" s="227" t="s">
        <v>17</v>
      </c>
      <c r="F6" s="228"/>
      <c r="G6" s="221" t="s">
        <v>18</v>
      </c>
      <c r="H6" s="226"/>
      <c r="I6" s="226"/>
      <c r="J6" s="226"/>
      <c r="K6" s="226"/>
      <c r="L6" s="222"/>
    </row>
    <row r="7" spans="1:12" ht="8.25" customHeight="1">
      <c r="A7" s="234"/>
      <c r="B7" s="234"/>
      <c r="C7" s="234"/>
      <c r="D7" s="234"/>
      <c r="E7" s="229"/>
      <c r="F7" s="230"/>
      <c r="G7" s="221" t="s">
        <v>156</v>
      </c>
      <c r="H7" s="226"/>
      <c r="I7" s="226"/>
      <c r="J7" s="222"/>
      <c r="K7" s="221" t="s">
        <v>29</v>
      </c>
      <c r="L7" s="222"/>
    </row>
    <row r="8" spans="1:12" ht="24.75" customHeight="1">
      <c r="A8" s="234"/>
      <c r="B8" s="234"/>
      <c r="C8" s="234"/>
      <c r="D8" s="234"/>
      <c r="E8" s="223" t="s">
        <v>650</v>
      </c>
      <c r="F8" s="223" t="s">
        <v>651</v>
      </c>
      <c r="G8" s="223" t="s">
        <v>650</v>
      </c>
      <c r="H8" s="223" t="s">
        <v>651</v>
      </c>
      <c r="I8" s="221" t="s">
        <v>30</v>
      </c>
      <c r="J8" s="222"/>
      <c r="K8" s="223" t="s">
        <v>650</v>
      </c>
      <c r="L8" s="223" t="s">
        <v>651</v>
      </c>
    </row>
    <row r="9" spans="1:12" ht="18.75" customHeight="1">
      <c r="A9" s="234"/>
      <c r="B9" s="234"/>
      <c r="C9" s="234"/>
      <c r="D9" s="234"/>
      <c r="E9" s="224"/>
      <c r="F9" s="224"/>
      <c r="G9" s="224"/>
      <c r="H9" s="224"/>
      <c r="I9" s="42" t="s">
        <v>650</v>
      </c>
      <c r="J9" s="6" t="s">
        <v>651</v>
      </c>
      <c r="K9" s="224"/>
      <c r="L9" s="224"/>
    </row>
    <row r="10" spans="1:12" ht="3" hidden="1">
      <c r="A10" s="6">
        <v>1</v>
      </c>
      <c r="B10" s="6">
        <v>2</v>
      </c>
      <c r="C10" s="6">
        <v>3</v>
      </c>
      <c r="D10" s="6">
        <v>4</v>
      </c>
      <c r="E10" s="6">
        <v>5</v>
      </c>
      <c r="F10" s="6">
        <v>6</v>
      </c>
      <c r="G10" s="6">
        <v>7</v>
      </c>
      <c r="H10" s="6">
        <v>8</v>
      </c>
      <c r="I10" s="6">
        <v>9</v>
      </c>
      <c r="J10" s="6">
        <v>10</v>
      </c>
      <c r="K10" s="6">
        <v>11</v>
      </c>
      <c r="L10" s="31">
        <v>12</v>
      </c>
    </row>
    <row r="11" spans="1:15" ht="12" customHeight="1">
      <c r="A11" s="55">
        <v>1</v>
      </c>
      <c r="B11" s="7" t="s">
        <v>101</v>
      </c>
      <c r="C11" s="51" t="s">
        <v>102</v>
      </c>
      <c r="D11" s="31"/>
      <c r="E11" s="140">
        <f aca="true" t="shared" si="0" ref="E11:F15">+G11+K11</f>
        <v>659.2</v>
      </c>
      <c r="F11" s="140">
        <f t="shared" si="0"/>
        <v>619.4</v>
      </c>
      <c r="G11" s="140">
        <f aca="true" t="shared" si="1" ref="G11:L11">SUM(G12:G38)</f>
        <v>645.4000000000001</v>
      </c>
      <c r="H11" s="140">
        <f t="shared" si="1"/>
        <v>606.3</v>
      </c>
      <c r="I11" s="140">
        <f t="shared" si="1"/>
        <v>10.2</v>
      </c>
      <c r="J11" s="140">
        <f t="shared" si="1"/>
        <v>7.300000000000001</v>
      </c>
      <c r="K11" s="140">
        <f t="shared" si="1"/>
        <v>13.8</v>
      </c>
      <c r="L11" s="140">
        <f t="shared" si="1"/>
        <v>13.100000000000001</v>
      </c>
      <c r="M11" s="1"/>
      <c r="N11" s="1"/>
      <c r="O11" s="1"/>
    </row>
    <row r="12" spans="1:15" ht="12" customHeight="1">
      <c r="A12" s="55">
        <v>2</v>
      </c>
      <c r="B12" s="17"/>
      <c r="C12" s="32" t="s">
        <v>181</v>
      </c>
      <c r="D12" s="9" t="s">
        <v>103</v>
      </c>
      <c r="E12" s="77">
        <f t="shared" si="0"/>
        <v>37.9</v>
      </c>
      <c r="F12" s="77">
        <f t="shared" si="0"/>
        <v>36.8</v>
      </c>
      <c r="G12" s="77">
        <f>37.3+0.6</f>
        <v>37.9</v>
      </c>
      <c r="H12" s="77">
        <v>36.8</v>
      </c>
      <c r="I12" s="77"/>
      <c r="J12" s="77"/>
      <c r="K12" s="77"/>
      <c r="L12" s="128"/>
      <c r="M12" s="1"/>
      <c r="N12" s="1"/>
      <c r="O12" s="1"/>
    </row>
    <row r="13" spans="1:15" ht="12" customHeight="1">
      <c r="A13" s="55">
        <v>3</v>
      </c>
      <c r="B13" s="17"/>
      <c r="C13" s="32" t="s">
        <v>95</v>
      </c>
      <c r="D13" s="9" t="s">
        <v>103</v>
      </c>
      <c r="E13" s="77">
        <f t="shared" si="0"/>
        <v>46</v>
      </c>
      <c r="F13" s="77">
        <f t="shared" si="0"/>
        <v>46</v>
      </c>
      <c r="G13" s="77">
        <f>43.5+2.5</f>
        <v>46</v>
      </c>
      <c r="H13" s="77">
        <v>46</v>
      </c>
      <c r="I13" s="77"/>
      <c r="J13" s="77"/>
      <c r="K13" s="77"/>
      <c r="L13" s="128"/>
      <c r="M13" s="1"/>
      <c r="N13" s="1"/>
      <c r="O13" s="1"/>
    </row>
    <row r="14" spans="1:15" ht="12" customHeight="1">
      <c r="A14" s="55">
        <v>4</v>
      </c>
      <c r="B14" s="17"/>
      <c r="C14" s="32" t="s">
        <v>615</v>
      </c>
      <c r="D14" s="9" t="s">
        <v>104</v>
      </c>
      <c r="E14" s="77">
        <f t="shared" si="0"/>
        <v>43.800000000000004</v>
      </c>
      <c r="F14" s="77">
        <f t="shared" si="0"/>
        <v>42</v>
      </c>
      <c r="G14" s="77">
        <f>37.1+6.7</f>
        <v>43.800000000000004</v>
      </c>
      <c r="H14" s="77">
        <v>42</v>
      </c>
      <c r="I14" s="77"/>
      <c r="J14" s="77"/>
      <c r="K14" s="77"/>
      <c r="L14" s="128"/>
      <c r="M14" s="1"/>
      <c r="N14" s="1"/>
      <c r="O14" s="1"/>
    </row>
    <row r="15" spans="1:15" ht="12" customHeight="1">
      <c r="A15" s="55">
        <v>5</v>
      </c>
      <c r="B15" s="17"/>
      <c r="C15" s="32" t="s">
        <v>616</v>
      </c>
      <c r="D15" s="9" t="s">
        <v>104</v>
      </c>
      <c r="E15" s="77">
        <f t="shared" si="0"/>
        <v>43.6</v>
      </c>
      <c r="F15" s="77">
        <f t="shared" si="0"/>
        <v>41.5</v>
      </c>
      <c r="G15" s="77">
        <f>43.6</f>
        <v>43.6</v>
      </c>
      <c r="H15" s="77">
        <v>41.5</v>
      </c>
      <c r="I15" s="77"/>
      <c r="J15" s="77"/>
      <c r="K15" s="77"/>
      <c r="L15" s="128"/>
      <c r="M15" s="1"/>
      <c r="N15" s="1"/>
      <c r="O15" s="1"/>
    </row>
    <row r="16" spans="1:15" ht="12" customHeight="1">
      <c r="A16" s="55">
        <v>6</v>
      </c>
      <c r="B16" s="17"/>
      <c r="C16" s="32" t="s">
        <v>74</v>
      </c>
      <c r="D16" s="9" t="s">
        <v>103</v>
      </c>
      <c r="E16" s="77">
        <f aca="true" t="shared" si="2" ref="E16:F43">+G16+K16</f>
        <v>55</v>
      </c>
      <c r="F16" s="77">
        <f t="shared" si="2"/>
        <v>54.8</v>
      </c>
      <c r="G16" s="77">
        <f>55</f>
        <v>55</v>
      </c>
      <c r="H16" s="77">
        <v>54.8</v>
      </c>
      <c r="I16" s="77"/>
      <c r="J16" s="77"/>
      <c r="K16" s="77"/>
      <c r="L16" s="128"/>
      <c r="M16" s="1"/>
      <c r="N16" s="1"/>
      <c r="O16" s="1"/>
    </row>
    <row r="17" spans="1:15" ht="12" customHeight="1">
      <c r="A17" s="55">
        <v>7</v>
      </c>
      <c r="B17" s="17"/>
      <c r="C17" s="32" t="s">
        <v>75</v>
      </c>
      <c r="D17" s="9" t="s">
        <v>103</v>
      </c>
      <c r="E17" s="77">
        <f t="shared" si="2"/>
        <v>32</v>
      </c>
      <c r="F17" s="77">
        <f t="shared" si="2"/>
        <v>25.7</v>
      </c>
      <c r="G17" s="77">
        <v>32</v>
      </c>
      <c r="H17" s="77">
        <v>25.7</v>
      </c>
      <c r="I17" s="77"/>
      <c r="J17" s="77"/>
      <c r="K17" s="77"/>
      <c r="L17" s="128"/>
      <c r="M17" s="1"/>
      <c r="N17" s="1"/>
      <c r="O17" s="1"/>
    </row>
    <row r="18" spans="1:15" ht="12" customHeight="1">
      <c r="A18" s="55">
        <v>8</v>
      </c>
      <c r="B18" s="17"/>
      <c r="C18" s="32" t="s">
        <v>96</v>
      </c>
      <c r="D18" s="9" t="s">
        <v>103</v>
      </c>
      <c r="E18" s="77">
        <f t="shared" si="2"/>
        <v>51.1</v>
      </c>
      <c r="F18" s="77">
        <f t="shared" si="2"/>
        <v>47.1</v>
      </c>
      <c r="G18" s="77">
        <v>50.1</v>
      </c>
      <c r="H18" s="77">
        <v>46.1</v>
      </c>
      <c r="I18" s="77"/>
      <c r="J18" s="77"/>
      <c r="K18" s="77">
        <v>1</v>
      </c>
      <c r="L18" s="128">
        <v>1</v>
      </c>
      <c r="M18" s="1"/>
      <c r="N18" s="1"/>
      <c r="O18" s="1"/>
    </row>
    <row r="19" spans="1:15" ht="12" customHeight="1">
      <c r="A19" s="55">
        <v>9</v>
      </c>
      <c r="B19" s="17"/>
      <c r="C19" s="180" t="s">
        <v>84</v>
      </c>
      <c r="D19" s="9" t="s">
        <v>104</v>
      </c>
      <c r="E19" s="77">
        <f t="shared" si="2"/>
        <v>36</v>
      </c>
      <c r="F19" s="77">
        <f t="shared" si="2"/>
        <v>35.8</v>
      </c>
      <c r="G19" s="77">
        <f>36</f>
        <v>36</v>
      </c>
      <c r="H19" s="77">
        <v>35.8</v>
      </c>
      <c r="I19" s="77"/>
      <c r="J19" s="77"/>
      <c r="K19" s="77"/>
      <c r="L19" s="128"/>
      <c r="M19" s="1"/>
      <c r="N19" s="1"/>
      <c r="O19" s="1"/>
    </row>
    <row r="20" spans="1:15" ht="12" customHeight="1">
      <c r="A20" s="55">
        <v>10</v>
      </c>
      <c r="B20" s="17"/>
      <c r="C20" s="32" t="s">
        <v>85</v>
      </c>
      <c r="D20" s="71" t="s">
        <v>107</v>
      </c>
      <c r="E20" s="77">
        <f t="shared" si="2"/>
        <v>4</v>
      </c>
      <c r="F20" s="77">
        <f t="shared" si="2"/>
        <v>4</v>
      </c>
      <c r="G20" s="77">
        <f>4</f>
        <v>4</v>
      </c>
      <c r="H20" s="77">
        <v>4</v>
      </c>
      <c r="I20" s="77"/>
      <c r="J20" s="77"/>
      <c r="K20" s="77"/>
      <c r="L20" s="128"/>
      <c r="M20" s="1"/>
      <c r="N20" s="1"/>
      <c r="O20" s="1"/>
    </row>
    <row r="21" spans="1:15" ht="12" customHeight="1">
      <c r="A21" s="55">
        <v>11</v>
      </c>
      <c r="B21" s="17"/>
      <c r="C21" s="180" t="s">
        <v>267</v>
      </c>
      <c r="D21" s="9" t="s">
        <v>105</v>
      </c>
      <c r="E21" s="77">
        <f aca="true" t="shared" si="3" ref="E21:F24">+G21+K21</f>
        <v>23.8</v>
      </c>
      <c r="F21" s="77">
        <f t="shared" si="3"/>
        <v>23</v>
      </c>
      <c r="G21" s="77">
        <v>23.8</v>
      </c>
      <c r="H21" s="77">
        <v>23</v>
      </c>
      <c r="I21" s="77"/>
      <c r="J21" s="77"/>
      <c r="K21" s="77"/>
      <c r="L21" s="128"/>
      <c r="M21" s="1"/>
      <c r="N21" s="1"/>
      <c r="O21" s="1"/>
    </row>
    <row r="22" spans="1:15" ht="12" customHeight="1">
      <c r="A22" s="55">
        <v>12</v>
      </c>
      <c r="B22" s="17"/>
      <c r="C22" s="180" t="s">
        <v>268</v>
      </c>
      <c r="D22" s="9" t="s">
        <v>105</v>
      </c>
      <c r="E22" s="77">
        <f t="shared" si="3"/>
        <v>0.5</v>
      </c>
      <c r="F22" s="77">
        <f t="shared" si="3"/>
        <v>0.5</v>
      </c>
      <c r="G22" s="77">
        <f>0.5</f>
        <v>0.5</v>
      </c>
      <c r="H22" s="77">
        <v>0.5</v>
      </c>
      <c r="I22" s="77"/>
      <c r="J22" s="77"/>
      <c r="K22" s="77"/>
      <c r="L22" s="128"/>
      <c r="M22" s="1"/>
      <c r="N22" s="1"/>
      <c r="O22" s="1"/>
    </row>
    <row r="23" spans="1:15" ht="12" customHeight="1">
      <c r="A23" s="55">
        <v>13</v>
      </c>
      <c r="B23" s="17"/>
      <c r="C23" s="180" t="s">
        <v>78</v>
      </c>
      <c r="D23" s="9" t="s">
        <v>105</v>
      </c>
      <c r="E23" s="77">
        <f t="shared" si="3"/>
        <v>10.7</v>
      </c>
      <c r="F23" s="77">
        <f t="shared" si="3"/>
        <v>10.6</v>
      </c>
      <c r="G23" s="77">
        <f>8.6+0.6</f>
        <v>9.2</v>
      </c>
      <c r="H23" s="77">
        <v>9.1</v>
      </c>
      <c r="I23" s="77"/>
      <c r="J23" s="77"/>
      <c r="K23" s="77">
        <f>1+0.5</f>
        <v>1.5</v>
      </c>
      <c r="L23" s="128">
        <v>1.5</v>
      </c>
      <c r="M23" s="1"/>
      <c r="N23" s="1"/>
      <c r="O23" s="1"/>
    </row>
    <row r="24" spans="1:15" ht="12" customHeight="1">
      <c r="A24" s="55">
        <v>14</v>
      </c>
      <c r="B24" s="17"/>
      <c r="C24" s="32" t="s">
        <v>273</v>
      </c>
      <c r="D24" s="9" t="s">
        <v>105</v>
      </c>
      <c r="E24" s="77">
        <f t="shared" si="3"/>
        <v>0.7</v>
      </c>
      <c r="F24" s="77">
        <f t="shared" si="3"/>
        <v>0.2</v>
      </c>
      <c r="G24" s="77">
        <f>1-0.3</f>
        <v>0.7</v>
      </c>
      <c r="H24" s="77">
        <v>0.2</v>
      </c>
      <c r="I24" s="77"/>
      <c r="J24" s="77"/>
      <c r="K24" s="77"/>
      <c r="L24" s="128"/>
      <c r="M24" s="1"/>
      <c r="N24" s="1"/>
      <c r="O24" s="1"/>
    </row>
    <row r="25" spans="1:15" ht="13.5" customHeight="1">
      <c r="A25" s="55">
        <v>15</v>
      </c>
      <c r="B25" s="17"/>
      <c r="C25" s="180" t="s">
        <v>222</v>
      </c>
      <c r="D25" s="11" t="s">
        <v>157</v>
      </c>
      <c r="E25" s="77">
        <f t="shared" si="2"/>
        <v>1.5</v>
      </c>
      <c r="F25" s="77">
        <f t="shared" si="2"/>
        <v>0.9</v>
      </c>
      <c r="G25" s="77">
        <f>0.9+0.6</f>
        <v>1.5</v>
      </c>
      <c r="H25" s="77">
        <v>0.9</v>
      </c>
      <c r="I25" s="77"/>
      <c r="J25" s="77"/>
      <c r="K25" s="77"/>
      <c r="L25" s="128"/>
      <c r="M25" s="1"/>
      <c r="N25" s="1"/>
      <c r="O25" s="1"/>
    </row>
    <row r="26" spans="1:15" ht="12" customHeight="1">
      <c r="A26" s="55">
        <v>16</v>
      </c>
      <c r="B26" s="17"/>
      <c r="C26" s="32" t="s">
        <v>224</v>
      </c>
      <c r="D26" s="11" t="s">
        <v>157</v>
      </c>
      <c r="E26" s="77">
        <f t="shared" si="2"/>
        <v>2</v>
      </c>
      <c r="F26" s="77">
        <f t="shared" si="2"/>
        <v>0.9</v>
      </c>
      <c r="G26" s="77">
        <f>2</f>
        <v>2</v>
      </c>
      <c r="H26" s="77">
        <v>0.9</v>
      </c>
      <c r="I26" s="77"/>
      <c r="J26" s="77"/>
      <c r="K26" s="77"/>
      <c r="L26" s="128"/>
      <c r="M26" s="1"/>
      <c r="N26" s="1"/>
      <c r="O26" s="1"/>
    </row>
    <row r="27" spans="1:15" ht="12" customHeight="1">
      <c r="A27" s="55">
        <v>17</v>
      </c>
      <c r="B27" s="17"/>
      <c r="C27" s="180" t="s">
        <v>223</v>
      </c>
      <c r="D27" s="9" t="s">
        <v>106</v>
      </c>
      <c r="E27" s="77">
        <f t="shared" si="2"/>
        <v>6.6</v>
      </c>
      <c r="F27" s="77">
        <f t="shared" si="2"/>
        <v>6.6</v>
      </c>
      <c r="G27" s="77">
        <f>6+0.6</f>
        <v>6.6</v>
      </c>
      <c r="H27" s="77">
        <v>6.6</v>
      </c>
      <c r="I27" s="77"/>
      <c r="J27" s="77"/>
      <c r="K27" s="77"/>
      <c r="L27" s="128"/>
      <c r="M27" s="1"/>
      <c r="N27" s="1"/>
      <c r="O27" s="1"/>
    </row>
    <row r="28" spans="1:15" ht="12" customHeight="1">
      <c r="A28" s="55">
        <v>18</v>
      </c>
      <c r="B28" s="17"/>
      <c r="C28" s="180" t="s">
        <v>79</v>
      </c>
      <c r="D28" s="9" t="s">
        <v>106</v>
      </c>
      <c r="E28" s="77">
        <f t="shared" si="2"/>
        <v>1</v>
      </c>
      <c r="F28" s="77">
        <f t="shared" si="2"/>
        <v>0.9</v>
      </c>
      <c r="G28" s="77">
        <f>1.5-0.5</f>
        <v>1</v>
      </c>
      <c r="H28" s="77">
        <v>0.9</v>
      </c>
      <c r="I28" s="77"/>
      <c r="J28" s="77"/>
      <c r="K28" s="77"/>
      <c r="L28" s="128"/>
      <c r="M28" s="1"/>
      <c r="N28" s="1"/>
      <c r="O28" s="1"/>
    </row>
    <row r="29" spans="1:15" ht="12" customHeight="1">
      <c r="A29" s="55">
        <v>19</v>
      </c>
      <c r="B29" s="17"/>
      <c r="C29" s="193" t="s">
        <v>270</v>
      </c>
      <c r="D29" s="71" t="s">
        <v>106</v>
      </c>
      <c r="E29" s="77">
        <f t="shared" si="2"/>
        <v>41</v>
      </c>
      <c r="F29" s="77">
        <f t="shared" si="2"/>
        <v>40.1</v>
      </c>
      <c r="G29" s="77">
        <f>36+5</f>
        <v>41</v>
      </c>
      <c r="H29" s="77">
        <v>40.1</v>
      </c>
      <c r="I29" s="77"/>
      <c r="J29" s="77"/>
      <c r="K29" s="77"/>
      <c r="L29" s="128"/>
      <c r="M29" s="1"/>
      <c r="N29" s="1"/>
      <c r="O29" s="1"/>
    </row>
    <row r="30" spans="1:15" ht="12" customHeight="1">
      <c r="A30" s="55">
        <v>20</v>
      </c>
      <c r="B30" s="17"/>
      <c r="C30" s="61" t="s">
        <v>80</v>
      </c>
      <c r="D30" s="9" t="s">
        <v>106</v>
      </c>
      <c r="E30" s="77">
        <f t="shared" si="2"/>
        <v>1.1</v>
      </c>
      <c r="F30" s="77">
        <f t="shared" si="2"/>
        <v>0.6</v>
      </c>
      <c r="G30" s="77">
        <f>0.6+0.5</f>
        <v>1.1</v>
      </c>
      <c r="H30" s="77">
        <v>0.6</v>
      </c>
      <c r="I30" s="77"/>
      <c r="J30" s="77"/>
      <c r="K30" s="77"/>
      <c r="L30" s="128"/>
      <c r="M30" s="1"/>
      <c r="N30" s="1"/>
      <c r="O30" s="1"/>
    </row>
    <row r="31" spans="1:15" ht="12" customHeight="1">
      <c r="A31" s="55">
        <v>21</v>
      </c>
      <c r="B31" s="17"/>
      <c r="C31" s="180" t="s">
        <v>192</v>
      </c>
      <c r="D31" s="71" t="s">
        <v>107</v>
      </c>
      <c r="E31" s="77">
        <f t="shared" si="2"/>
        <v>31.5</v>
      </c>
      <c r="F31" s="77">
        <f t="shared" si="2"/>
        <v>27.8</v>
      </c>
      <c r="G31" s="77">
        <f>29.8+1.7</f>
        <v>31.5</v>
      </c>
      <c r="H31" s="77">
        <v>27.8</v>
      </c>
      <c r="I31" s="77">
        <f>6.1+1.7</f>
        <v>7.8</v>
      </c>
      <c r="J31" s="77">
        <v>4.9</v>
      </c>
      <c r="K31" s="77"/>
      <c r="L31" s="128"/>
      <c r="M31" s="1"/>
      <c r="N31" s="1"/>
      <c r="O31" s="1"/>
    </row>
    <row r="32" spans="1:15" ht="12" customHeight="1">
      <c r="A32" s="55">
        <v>22</v>
      </c>
      <c r="B32" s="17"/>
      <c r="C32" s="32" t="s">
        <v>88</v>
      </c>
      <c r="D32" s="9" t="s">
        <v>106</v>
      </c>
      <c r="E32" s="77">
        <f t="shared" si="2"/>
        <v>5.5</v>
      </c>
      <c r="F32" s="77">
        <f t="shared" si="2"/>
        <v>4.5</v>
      </c>
      <c r="G32" s="77">
        <f>6.5-1</f>
        <v>5.5</v>
      </c>
      <c r="H32" s="77">
        <v>4.5</v>
      </c>
      <c r="I32" s="77"/>
      <c r="J32" s="77"/>
      <c r="K32" s="77"/>
      <c r="L32" s="128"/>
      <c r="M32" s="1"/>
      <c r="N32" s="1"/>
      <c r="O32" s="1"/>
    </row>
    <row r="33" spans="1:15" ht="12" customHeight="1">
      <c r="A33" s="55">
        <v>23</v>
      </c>
      <c r="B33" s="17"/>
      <c r="C33" s="43" t="s">
        <v>97</v>
      </c>
      <c r="D33" s="71" t="s">
        <v>107</v>
      </c>
      <c r="E33" s="77">
        <f t="shared" si="2"/>
        <v>37.1</v>
      </c>
      <c r="F33" s="77">
        <f t="shared" si="2"/>
        <v>33.1</v>
      </c>
      <c r="G33" s="77">
        <f>31.1+3</f>
        <v>34.1</v>
      </c>
      <c r="H33" s="77">
        <v>30.7</v>
      </c>
      <c r="I33" s="77">
        <v>2.4</v>
      </c>
      <c r="J33" s="77">
        <v>2.4</v>
      </c>
      <c r="K33" s="77">
        <f>6-3</f>
        <v>3</v>
      </c>
      <c r="L33" s="128">
        <v>2.4</v>
      </c>
      <c r="M33" s="1"/>
      <c r="N33" s="1"/>
      <c r="O33" s="1"/>
    </row>
    <row r="34" spans="1:15" ht="12" customHeight="1">
      <c r="A34" s="55">
        <v>24</v>
      </c>
      <c r="B34" s="17"/>
      <c r="C34" s="43" t="s">
        <v>86</v>
      </c>
      <c r="D34" s="71" t="s">
        <v>107</v>
      </c>
      <c r="E34" s="77">
        <f t="shared" si="2"/>
        <v>51</v>
      </c>
      <c r="F34" s="77">
        <f t="shared" si="2"/>
        <v>48.6</v>
      </c>
      <c r="G34" s="77">
        <f>38+8</f>
        <v>46</v>
      </c>
      <c r="H34" s="77">
        <v>43.7</v>
      </c>
      <c r="I34" s="77"/>
      <c r="J34" s="77"/>
      <c r="K34" s="77">
        <v>5</v>
      </c>
      <c r="L34" s="128">
        <v>4.9</v>
      </c>
      <c r="M34" s="1"/>
      <c r="N34" s="1"/>
      <c r="O34" s="1"/>
    </row>
    <row r="35" spans="1:15" ht="12" customHeight="1">
      <c r="A35" s="55">
        <v>25</v>
      </c>
      <c r="B35" s="17"/>
      <c r="C35" s="43" t="s">
        <v>87</v>
      </c>
      <c r="D35" s="71" t="s">
        <v>107</v>
      </c>
      <c r="E35" s="77">
        <f t="shared" si="2"/>
        <v>57</v>
      </c>
      <c r="F35" s="77">
        <f t="shared" si="2"/>
        <v>52.599999999999994</v>
      </c>
      <c r="G35" s="77">
        <f>42.7+11</f>
        <v>53.7</v>
      </c>
      <c r="H35" s="77">
        <v>49.3</v>
      </c>
      <c r="I35" s="77"/>
      <c r="J35" s="77"/>
      <c r="K35" s="77">
        <f>14.3-11</f>
        <v>3.3000000000000007</v>
      </c>
      <c r="L35" s="128">
        <v>3.3</v>
      </c>
      <c r="M35" s="1"/>
      <c r="N35" s="1"/>
      <c r="O35" s="1"/>
    </row>
    <row r="36" spans="1:15" ht="12" customHeight="1">
      <c r="A36" s="55">
        <v>26</v>
      </c>
      <c r="B36" s="17"/>
      <c r="C36" s="32" t="s">
        <v>193</v>
      </c>
      <c r="D36" s="71" t="s">
        <v>107</v>
      </c>
      <c r="E36" s="77">
        <f t="shared" si="2"/>
        <v>16</v>
      </c>
      <c r="F36" s="77">
        <f t="shared" si="2"/>
        <v>12.4</v>
      </c>
      <c r="G36" s="77">
        <v>16</v>
      </c>
      <c r="H36" s="77">
        <v>12.4</v>
      </c>
      <c r="I36" s="77"/>
      <c r="J36" s="77"/>
      <c r="K36" s="77"/>
      <c r="L36" s="128"/>
      <c r="M36" s="1"/>
      <c r="N36" s="1"/>
      <c r="O36" s="1"/>
    </row>
    <row r="37" spans="1:15" ht="12" customHeight="1">
      <c r="A37" s="55">
        <v>27</v>
      </c>
      <c r="B37" s="17"/>
      <c r="C37" s="43" t="s">
        <v>15</v>
      </c>
      <c r="D37" s="9" t="s">
        <v>103</v>
      </c>
      <c r="E37" s="77">
        <f>+G37+K37</f>
        <v>14</v>
      </c>
      <c r="F37" s="77">
        <f>+H37+L37</f>
        <v>13.9</v>
      </c>
      <c r="G37" s="77">
        <f>12+2</f>
        <v>14</v>
      </c>
      <c r="H37" s="77">
        <v>13.9</v>
      </c>
      <c r="I37" s="77"/>
      <c r="J37" s="77"/>
      <c r="K37" s="77"/>
      <c r="L37" s="128"/>
      <c r="M37" s="1"/>
      <c r="N37" s="1"/>
      <c r="O37" s="1"/>
    </row>
    <row r="38" spans="1:15" ht="12" customHeight="1">
      <c r="A38" s="55">
        <v>28</v>
      </c>
      <c r="B38" s="17"/>
      <c r="C38" s="43" t="s">
        <v>98</v>
      </c>
      <c r="D38" s="9" t="s">
        <v>103</v>
      </c>
      <c r="E38" s="77">
        <f t="shared" si="2"/>
        <v>8.8</v>
      </c>
      <c r="F38" s="77">
        <f t="shared" si="2"/>
        <v>8.5</v>
      </c>
      <c r="G38" s="77">
        <v>8.8</v>
      </c>
      <c r="H38" s="77">
        <v>8.5</v>
      </c>
      <c r="I38" s="77"/>
      <c r="J38" s="77"/>
      <c r="K38" s="77"/>
      <c r="L38" s="128"/>
      <c r="M38" s="1"/>
      <c r="N38" s="1"/>
      <c r="O38" s="1"/>
    </row>
    <row r="39" spans="1:15" ht="15" customHeight="1">
      <c r="A39" s="55">
        <v>29</v>
      </c>
      <c r="B39" s="7" t="s">
        <v>21</v>
      </c>
      <c r="C39" s="59" t="s">
        <v>22</v>
      </c>
      <c r="D39" s="71"/>
      <c r="E39" s="140">
        <f>+G39+K39</f>
        <v>432.4000000000001</v>
      </c>
      <c r="F39" s="140">
        <f>+H39+L39</f>
        <v>393.79999999999995</v>
      </c>
      <c r="G39" s="140">
        <f aca="true" t="shared" si="4" ref="G39:L39">SUM(G40:G43)</f>
        <v>421.80000000000007</v>
      </c>
      <c r="H39" s="140">
        <f t="shared" si="4"/>
        <v>389.59999999999997</v>
      </c>
      <c r="I39" s="140">
        <f t="shared" si="4"/>
        <v>144.4</v>
      </c>
      <c r="J39" s="140">
        <f t="shared" si="4"/>
        <v>144.4</v>
      </c>
      <c r="K39" s="140">
        <f t="shared" si="4"/>
        <v>10.6</v>
      </c>
      <c r="L39" s="140">
        <f t="shared" si="4"/>
        <v>4.2</v>
      </c>
      <c r="M39" s="1"/>
      <c r="N39" s="1"/>
      <c r="O39" s="1"/>
    </row>
    <row r="40" spans="1:15" ht="12" customHeight="1">
      <c r="A40" s="55">
        <v>30</v>
      </c>
      <c r="B40" s="17"/>
      <c r="C40" s="43" t="s">
        <v>2</v>
      </c>
      <c r="D40" s="71" t="s">
        <v>120</v>
      </c>
      <c r="E40" s="77">
        <f t="shared" si="2"/>
        <v>182</v>
      </c>
      <c r="F40" s="77">
        <f t="shared" si="2"/>
        <v>149.5</v>
      </c>
      <c r="G40" s="77">
        <f>165+9.3</f>
        <v>174.3</v>
      </c>
      <c r="H40" s="77">
        <v>148.2</v>
      </c>
      <c r="I40" s="77">
        <v>75.3</v>
      </c>
      <c r="J40" s="77">
        <v>75.3</v>
      </c>
      <c r="K40" s="77">
        <v>7.7</v>
      </c>
      <c r="L40" s="128">
        <v>1.3</v>
      </c>
      <c r="M40" s="1"/>
      <c r="N40" s="1"/>
      <c r="O40" s="1"/>
    </row>
    <row r="41" spans="1:15" ht="12" customHeight="1">
      <c r="A41" s="55">
        <v>31</v>
      </c>
      <c r="B41" s="17"/>
      <c r="C41" s="43" t="s">
        <v>15</v>
      </c>
      <c r="D41" s="28" t="s">
        <v>120</v>
      </c>
      <c r="E41" s="77">
        <f>+G41+K41</f>
        <v>140.00000000000003</v>
      </c>
      <c r="F41" s="77">
        <f>+H41+L41</f>
        <v>139.5</v>
      </c>
      <c r="G41" s="77">
        <f>126.8+5+5.3</f>
        <v>137.10000000000002</v>
      </c>
      <c r="H41" s="77">
        <v>136.6</v>
      </c>
      <c r="I41" s="77">
        <f>38.1+3</f>
        <v>41.1</v>
      </c>
      <c r="J41" s="77">
        <v>41.1</v>
      </c>
      <c r="K41" s="77">
        <f>13.2-5-5.3</f>
        <v>2.8999999999999995</v>
      </c>
      <c r="L41" s="128">
        <v>2.9</v>
      </c>
      <c r="M41" s="1"/>
      <c r="N41" s="1"/>
      <c r="O41" s="1"/>
    </row>
    <row r="42" spans="1:15" ht="12" customHeight="1">
      <c r="A42" s="55">
        <v>32</v>
      </c>
      <c r="B42" s="17"/>
      <c r="C42" s="43" t="s">
        <v>98</v>
      </c>
      <c r="D42" s="28" t="s">
        <v>120</v>
      </c>
      <c r="E42" s="77">
        <f t="shared" si="2"/>
        <v>102.4</v>
      </c>
      <c r="F42" s="77">
        <f t="shared" si="2"/>
        <v>96.8</v>
      </c>
      <c r="G42" s="77">
        <f>105.4-1-2</f>
        <v>102.4</v>
      </c>
      <c r="H42" s="77">
        <v>96.8</v>
      </c>
      <c r="I42" s="77">
        <f>24+4</f>
        <v>28</v>
      </c>
      <c r="J42" s="77">
        <v>28</v>
      </c>
      <c r="K42" s="77">
        <f>6-6</f>
        <v>0</v>
      </c>
      <c r="L42" s="128">
        <v>0</v>
      </c>
      <c r="M42" s="1"/>
      <c r="N42" s="1"/>
      <c r="O42" s="1"/>
    </row>
    <row r="43" spans="1:15" ht="12" customHeight="1">
      <c r="A43" s="55">
        <v>33</v>
      </c>
      <c r="B43" s="17"/>
      <c r="C43" s="66" t="s">
        <v>586</v>
      </c>
      <c r="D43" s="28" t="s">
        <v>23</v>
      </c>
      <c r="E43" s="77">
        <f t="shared" si="2"/>
        <v>8</v>
      </c>
      <c r="F43" s="77">
        <f t="shared" si="2"/>
        <v>8</v>
      </c>
      <c r="G43" s="77">
        <v>8</v>
      </c>
      <c r="H43" s="77">
        <v>8</v>
      </c>
      <c r="I43" s="77"/>
      <c r="J43" s="77"/>
      <c r="K43" s="77"/>
      <c r="L43" s="128"/>
      <c r="M43" s="1"/>
      <c r="N43" s="1"/>
      <c r="O43" s="1"/>
    </row>
    <row r="44" spans="1:15" ht="12" customHeight="1">
      <c r="A44" s="55">
        <v>34</v>
      </c>
      <c r="B44" s="17"/>
      <c r="C44" s="141" t="s">
        <v>652</v>
      </c>
      <c r="D44" s="71"/>
      <c r="E44" s="140">
        <f>+G44+K44</f>
        <v>1091.6000000000004</v>
      </c>
      <c r="F44" s="140">
        <f>+H44+L44</f>
        <v>1013.1999999999998</v>
      </c>
      <c r="G44" s="140">
        <f aca="true" t="shared" si="5" ref="G44:L44">+G11+G39</f>
        <v>1067.2000000000003</v>
      </c>
      <c r="H44" s="140">
        <f t="shared" si="5"/>
        <v>995.8999999999999</v>
      </c>
      <c r="I44" s="140">
        <f t="shared" si="5"/>
        <v>154.6</v>
      </c>
      <c r="J44" s="140">
        <f t="shared" si="5"/>
        <v>151.70000000000002</v>
      </c>
      <c r="K44" s="140">
        <f t="shared" si="5"/>
        <v>24.4</v>
      </c>
      <c r="L44" s="140">
        <f t="shared" si="5"/>
        <v>17.3</v>
      </c>
      <c r="M44" s="1"/>
      <c r="N44" s="1"/>
      <c r="O44" s="1"/>
    </row>
    <row r="45" spans="5:11" ht="12.75">
      <c r="E45" s="34"/>
      <c r="F45" s="34"/>
      <c r="G45" s="34"/>
      <c r="H45" s="34"/>
      <c r="I45" s="34"/>
      <c r="J45" s="34"/>
      <c r="K45" s="34"/>
    </row>
    <row r="46" spans="3:13" ht="12.75">
      <c r="C46" s="2" t="s">
        <v>163</v>
      </c>
      <c r="M46" s="1"/>
    </row>
    <row r="47" spans="5:11" ht="12.75">
      <c r="E47" s="1"/>
      <c r="F47" s="1"/>
      <c r="G47" s="34"/>
      <c r="H47" s="34"/>
      <c r="I47" s="34"/>
      <c r="J47" s="34"/>
      <c r="K47" s="34"/>
    </row>
    <row r="48" spans="5:12" ht="12.75">
      <c r="E48" s="1"/>
      <c r="F48" s="1"/>
      <c r="G48" s="1"/>
      <c r="H48" s="1"/>
      <c r="I48" s="1"/>
      <c r="J48" s="1"/>
      <c r="K48" s="1"/>
      <c r="L48" s="1"/>
    </row>
    <row r="49" spans="5:11" ht="12.75">
      <c r="E49" s="34"/>
      <c r="F49" s="34"/>
      <c r="G49" s="34"/>
      <c r="H49" s="34"/>
      <c r="I49" s="34"/>
      <c r="J49" s="34"/>
      <c r="K49" s="34"/>
    </row>
    <row r="50" ht="12.75">
      <c r="K50" s="34"/>
    </row>
    <row r="51" spans="5:6" ht="12.75">
      <c r="E51" s="104"/>
      <c r="F51" s="104"/>
    </row>
  </sheetData>
  <sheetProtection/>
  <mergeCells count="20">
    <mergeCell ref="K3:L3"/>
    <mergeCell ref="G8:G9"/>
    <mergeCell ref="H8:H9"/>
    <mergeCell ref="I8:J8"/>
    <mergeCell ref="K8:K9"/>
    <mergeCell ref="B4:K4"/>
    <mergeCell ref="E6:F7"/>
    <mergeCell ref="G6:L6"/>
    <mergeCell ref="G7:J7"/>
    <mergeCell ref="K7:L7"/>
    <mergeCell ref="H2:L2"/>
    <mergeCell ref="H1:L1"/>
    <mergeCell ref="J5:L5"/>
    <mergeCell ref="A6:A9"/>
    <mergeCell ref="B6:B9"/>
    <mergeCell ref="C6:C9"/>
    <mergeCell ref="D6:D9"/>
    <mergeCell ref="L8:L9"/>
    <mergeCell ref="E8:E9"/>
    <mergeCell ref="F8:F9"/>
  </mergeCells>
  <printOptions/>
  <pageMargins left="0.5118110236220472" right="0" top="0.3937007874015748" bottom="0" header="0.31496062992125984" footer="0.31496062992125984"/>
  <pageSetup fitToHeight="1" fitToWidth="1"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V55"/>
  <sheetViews>
    <sheetView zoomScalePageLayoutView="0" workbookViewId="0" topLeftCell="A1">
      <selection activeCell="I6" sqref="I6:L6"/>
    </sheetView>
  </sheetViews>
  <sheetFormatPr defaultColWidth="9.140625" defaultRowHeight="12.75"/>
  <cols>
    <col min="1" max="1" width="5.421875" style="2" customWidth="1"/>
    <col min="2" max="2" width="5.00390625" style="2" customWidth="1"/>
    <col min="3" max="3" width="45.57421875" style="2" customWidth="1"/>
    <col min="4" max="4" width="10.421875" style="3" customWidth="1"/>
    <col min="5" max="6" width="8.421875" style="2" customWidth="1"/>
    <col min="7" max="8" width="8.140625" style="2" customWidth="1"/>
    <col min="9" max="11" width="8.421875" style="2" customWidth="1"/>
    <col min="12" max="12" width="9.57421875" style="4" customWidth="1"/>
    <col min="13" max="16384" width="9.140625" style="2" customWidth="1"/>
  </cols>
  <sheetData>
    <row r="1" spans="3:12" ht="15.75" customHeight="1">
      <c r="C1" s="216" t="s">
        <v>654</v>
      </c>
      <c r="D1" s="217"/>
      <c r="E1" s="217"/>
      <c r="F1" s="217"/>
      <c r="G1" s="217"/>
      <c r="H1" s="217"/>
      <c r="I1" s="217"/>
      <c r="J1" s="217"/>
      <c r="K1" s="217"/>
      <c r="L1" s="244"/>
    </row>
    <row r="2" spans="3:12" ht="15.75" customHeight="1">
      <c r="C2" s="216" t="s">
        <v>658</v>
      </c>
      <c r="D2" s="217"/>
      <c r="E2" s="217"/>
      <c r="F2" s="217"/>
      <c r="G2" s="217"/>
      <c r="H2" s="217"/>
      <c r="I2" s="217"/>
      <c r="J2" s="217"/>
      <c r="K2" s="217"/>
      <c r="L2" s="218"/>
    </row>
    <row r="3" spans="2:12" ht="12.75">
      <c r="B3" s="36"/>
      <c r="E3" s="216" t="s">
        <v>99</v>
      </c>
      <c r="F3" s="216"/>
      <c r="G3" s="216"/>
      <c r="H3" s="216"/>
      <c r="I3" s="216"/>
      <c r="J3" s="216"/>
      <c r="K3" s="216"/>
      <c r="L3" s="247"/>
    </row>
    <row r="4" spans="2:12" ht="15.75">
      <c r="B4" s="36"/>
      <c r="E4" s="26"/>
      <c r="F4" s="26"/>
      <c r="G4" s="26"/>
      <c r="H4" s="26"/>
      <c r="I4" s="26"/>
      <c r="J4" s="26"/>
      <c r="K4" s="26"/>
      <c r="L4" s="2"/>
    </row>
    <row r="5" spans="1:12" ht="30" customHeight="1">
      <c r="A5" s="225" t="s">
        <v>287</v>
      </c>
      <c r="B5" s="225"/>
      <c r="C5" s="225"/>
      <c r="D5" s="225"/>
      <c r="E5" s="225"/>
      <c r="F5" s="225"/>
      <c r="G5" s="225"/>
      <c r="H5" s="225"/>
      <c r="I5" s="225"/>
      <c r="J5" s="225"/>
      <c r="K5" s="225"/>
      <c r="L5" s="2"/>
    </row>
    <row r="6" spans="2:12" ht="12.75">
      <c r="B6" s="36"/>
      <c r="E6" s="5"/>
      <c r="F6" s="5"/>
      <c r="G6" s="5"/>
      <c r="H6" s="5"/>
      <c r="I6" s="219" t="s">
        <v>256</v>
      </c>
      <c r="J6" s="219"/>
      <c r="K6" s="219"/>
      <c r="L6" s="220"/>
    </row>
    <row r="7" spans="1:12" ht="12.75" customHeight="1">
      <c r="A7" s="234" t="s">
        <v>0</v>
      </c>
      <c r="B7" s="234" t="s">
        <v>649</v>
      </c>
      <c r="C7" s="234" t="s">
        <v>16</v>
      </c>
      <c r="D7" s="234" t="s">
        <v>100</v>
      </c>
      <c r="E7" s="227" t="s">
        <v>17</v>
      </c>
      <c r="F7" s="228"/>
      <c r="G7" s="221" t="s">
        <v>18</v>
      </c>
      <c r="H7" s="226"/>
      <c r="I7" s="226"/>
      <c r="J7" s="226"/>
      <c r="K7" s="226"/>
      <c r="L7" s="222"/>
    </row>
    <row r="8" spans="1:12" ht="12.75" customHeight="1">
      <c r="A8" s="234"/>
      <c r="B8" s="234"/>
      <c r="C8" s="234"/>
      <c r="D8" s="234"/>
      <c r="E8" s="229"/>
      <c r="F8" s="230"/>
      <c r="G8" s="221" t="s">
        <v>156</v>
      </c>
      <c r="H8" s="226"/>
      <c r="I8" s="226"/>
      <c r="J8" s="222"/>
      <c r="K8" s="221" t="s">
        <v>29</v>
      </c>
      <c r="L8" s="222"/>
    </row>
    <row r="9" spans="1:12" ht="28.5" customHeight="1">
      <c r="A9" s="234"/>
      <c r="B9" s="234"/>
      <c r="C9" s="234"/>
      <c r="D9" s="234"/>
      <c r="E9" s="223" t="s">
        <v>650</v>
      </c>
      <c r="F9" s="223" t="s">
        <v>651</v>
      </c>
      <c r="G9" s="223" t="s">
        <v>650</v>
      </c>
      <c r="H9" s="223" t="s">
        <v>651</v>
      </c>
      <c r="I9" s="221" t="s">
        <v>30</v>
      </c>
      <c r="J9" s="222"/>
      <c r="K9" s="223" t="s">
        <v>650</v>
      </c>
      <c r="L9" s="223" t="s">
        <v>651</v>
      </c>
    </row>
    <row r="10" spans="1:12" ht="18" customHeight="1">
      <c r="A10" s="234"/>
      <c r="B10" s="234"/>
      <c r="C10" s="234"/>
      <c r="D10" s="234"/>
      <c r="E10" s="224"/>
      <c r="F10" s="224"/>
      <c r="G10" s="224"/>
      <c r="H10" s="224"/>
      <c r="I10" s="42" t="s">
        <v>650</v>
      </c>
      <c r="J10" s="6" t="s">
        <v>651</v>
      </c>
      <c r="K10" s="224"/>
      <c r="L10" s="224"/>
    </row>
    <row r="11" spans="1:12" ht="12.75">
      <c r="A11" s="6">
        <v>1</v>
      </c>
      <c r="B11" s="6">
        <v>2</v>
      </c>
      <c r="C11" s="6">
        <v>3</v>
      </c>
      <c r="D11" s="6">
        <v>4</v>
      </c>
      <c r="E11" s="6">
        <v>5</v>
      </c>
      <c r="F11" s="6">
        <v>6</v>
      </c>
      <c r="G11" s="6">
        <v>7</v>
      </c>
      <c r="H11" s="6">
        <v>8</v>
      </c>
      <c r="I11" s="6">
        <v>9</v>
      </c>
      <c r="J11" s="6">
        <v>10</v>
      </c>
      <c r="K11" s="6">
        <v>11</v>
      </c>
      <c r="L11" s="31">
        <v>12</v>
      </c>
    </row>
    <row r="12" spans="1:17" ht="19.5" customHeight="1">
      <c r="A12" s="13">
        <v>1</v>
      </c>
      <c r="B12" s="7" t="s">
        <v>101</v>
      </c>
      <c r="C12" s="50" t="s">
        <v>102</v>
      </c>
      <c r="D12" s="8"/>
      <c r="E12" s="117">
        <f aca="true" t="shared" si="0" ref="E12:F25">+G12+K12</f>
        <v>18.7</v>
      </c>
      <c r="F12" s="117">
        <f t="shared" si="0"/>
        <v>18.7</v>
      </c>
      <c r="G12" s="117">
        <f>+G13</f>
        <v>18.7</v>
      </c>
      <c r="H12" s="117">
        <f>+H13</f>
        <v>18.7</v>
      </c>
      <c r="I12" s="117">
        <f>+I13</f>
        <v>0</v>
      </c>
      <c r="J12" s="117">
        <v>0</v>
      </c>
      <c r="K12" s="117">
        <f>+K13</f>
        <v>0</v>
      </c>
      <c r="L12" s="157">
        <v>0</v>
      </c>
      <c r="N12" s="1"/>
      <c r="Q12" s="96"/>
    </row>
    <row r="13" spans="1:22" ht="12" customHeight="1">
      <c r="A13" s="13">
        <v>2</v>
      </c>
      <c r="B13" s="9"/>
      <c r="C13" s="67" t="s">
        <v>266</v>
      </c>
      <c r="D13" s="9" t="s">
        <v>107</v>
      </c>
      <c r="E13" s="101">
        <f t="shared" si="0"/>
        <v>18.7</v>
      </c>
      <c r="F13" s="101">
        <f t="shared" si="0"/>
        <v>18.7</v>
      </c>
      <c r="G13" s="101">
        <v>18.7</v>
      </c>
      <c r="H13" s="101">
        <v>18.7</v>
      </c>
      <c r="I13" s="101"/>
      <c r="J13" s="101"/>
      <c r="K13" s="101"/>
      <c r="L13" s="143"/>
      <c r="Q13" s="96"/>
      <c r="U13" s="1"/>
      <c r="V13" s="37"/>
    </row>
    <row r="14" spans="1:22" ht="15.75" customHeight="1">
      <c r="A14" s="13">
        <v>3</v>
      </c>
      <c r="B14" s="7" t="s">
        <v>21</v>
      </c>
      <c r="C14" s="10" t="s">
        <v>22</v>
      </c>
      <c r="D14" s="9"/>
      <c r="E14" s="142">
        <f t="shared" si="0"/>
        <v>426.4</v>
      </c>
      <c r="F14" s="142">
        <f t="shared" si="0"/>
        <v>415.7</v>
      </c>
      <c r="G14" s="142">
        <f>+G15</f>
        <v>5.199999999999999</v>
      </c>
      <c r="H14" s="142">
        <f>+H15</f>
        <v>1.3</v>
      </c>
      <c r="I14" s="142">
        <f>+I15</f>
        <v>0</v>
      </c>
      <c r="J14" s="142">
        <v>0</v>
      </c>
      <c r="K14" s="142">
        <f>+K15</f>
        <v>421.2</v>
      </c>
      <c r="L14" s="142">
        <f>+L15</f>
        <v>414.4</v>
      </c>
      <c r="Q14" s="96"/>
      <c r="U14" s="1"/>
      <c r="V14" s="37"/>
    </row>
    <row r="15" spans="1:22" ht="15" customHeight="1">
      <c r="A15" s="13">
        <v>4</v>
      </c>
      <c r="B15" s="7"/>
      <c r="C15" s="35" t="s">
        <v>416</v>
      </c>
      <c r="D15" s="103"/>
      <c r="E15" s="101">
        <f t="shared" si="0"/>
        <v>426.4</v>
      </c>
      <c r="F15" s="101">
        <f t="shared" si="0"/>
        <v>415.7</v>
      </c>
      <c r="G15" s="101">
        <f>+G17+G18</f>
        <v>5.199999999999999</v>
      </c>
      <c r="H15" s="101">
        <f>+H17+H18</f>
        <v>1.3</v>
      </c>
      <c r="I15" s="101">
        <f>+I17+I18</f>
        <v>0</v>
      </c>
      <c r="J15" s="101">
        <v>0</v>
      </c>
      <c r="K15" s="101">
        <f>+K17+K18</f>
        <v>421.2</v>
      </c>
      <c r="L15" s="101">
        <f>+L17+L18</f>
        <v>414.4</v>
      </c>
      <c r="Q15" s="96"/>
      <c r="U15" s="1"/>
      <c r="V15" s="37"/>
    </row>
    <row r="16" spans="1:22" ht="15" customHeight="1">
      <c r="A16" s="13"/>
      <c r="B16" s="7"/>
      <c r="C16" s="35" t="s">
        <v>121</v>
      </c>
      <c r="D16" s="103"/>
      <c r="E16" s="101"/>
      <c r="F16" s="101"/>
      <c r="G16" s="101"/>
      <c r="H16" s="101"/>
      <c r="I16" s="101"/>
      <c r="J16" s="101"/>
      <c r="K16" s="101"/>
      <c r="L16" s="143"/>
      <c r="Q16" s="96"/>
      <c r="U16" s="1"/>
      <c r="V16" s="37"/>
    </row>
    <row r="17" spans="1:22" ht="16.5" customHeight="1">
      <c r="A17" s="13" t="s">
        <v>555</v>
      </c>
      <c r="B17" s="9"/>
      <c r="C17" s="102" t="s">
        <v>251</v>
      </c>
      <c r="D17" s="9" t="s">
        <v>139</v>
      </c>
      <c r="E17" s="101">
        <f t="shared" si="0"/>
        <v>425</v>
      </c>
      <c r="F17" s="101">
        <f t="shared" si="0"/>
        <v>414.4</v>
      </c>
      <c r="G17" s="101">
        <f>3.8</f>
        <v>3.8</v>
      </c>
      <c r="H17" s="101">
        <v>0</v>
      </c>
      <c r="I17" s="101"/>
      <c r="J17" s="101"/>
      <c r="K17" s="101">
        <f>425-3.8</f>
        <v>421.2</v>
      </c>
      <c r="L17" s="143">
        <v>414.4</v>
      </c>
      <c r="Q17" s="96"/>
      <c r="U17" s="1"/>
      <c r="V17" s="37"/>
    </row>
    <row r="18" spans="1:22" ht="27.75" customHeight="1">
      <c r="A18" s="13" t="s">
        <v>556</v>
      </c>
      <c r="B18" s="9"/>
      <c r="C18" s="67" t="s">
        <v>646</v>
      </c>
      <c r="D18" s="9" t="s">
        <v>169</v>
      </c>
      <c r="E18" s="101">
        <f t="shared" si="0"/>
        <v>1.4</v>
      </c>
      <c r="F18" s="101">
        <f t="shared" si="0"/>
        <v>1.3</v>
      </c>
      <c r="G18" s="101">
        <v>1.4</v>
      </c>
      <c r="H18" s="101">
        <v>1.3</v>
      </c>
      <c r="I18" s="101"/>
      <c r="J18" s="101"/>
      <c r="K18" s="101"/>
      <c r="L18" s="143"/>
      <c r="Q18" s="96"/>
      <c r="U18" s="1"/>
      <c r="V18" s="37"/>
    </row>
    <row r="19" spans="1:22" ht="16.5" customHeight="1">
      <c r="A19" s="13">
        <v>5</v>
      </c>
      <c r="B19" s="7" t="s">
        <v>129</v>
      </c>
      <c r="C19" s="10" t="s">
        <v>130</v>
      </c>
      <c r="D19" s="6"/>
      <c r="E19" s="142">
        <f t="shared" si="0"/>
        <v>285.1</v>
      </c>
      <c r="F19" s="142">
        <f t="shared" si="0"/>
        <v>180.4</v>
      </c>
      <c r="G19" s="142">
        <f>+G20</f>
        <v>18.9</v>
      </c>
      <c r="H19" s="142">
        <f>+H20</f>
        <v>6.6000000000000005</v>
      </c>
      <c r="I19" s="142">
        <f>+I20</f>
        <v>0</v>
      </c>
      <c r="J19" s="142">
        <v>0</v>
      </c>
      <c r="K19" s="142">
        <f>+K20</f>
        <v>266.20000000000005</v>
      </c>
      <c r="L19" s="142">
        <f>+L20</f>
        <v>173.8</v>
      </c>
      <c r="Q19" s="96"/>
      <c r="U19" s="1"/>
      <c r="V19" s="37"/>
    </row>
    <row r="20" spans="1:22" ht="15" customHeight="1">
      <c r="A20" s="13">
        <v>6</v>
      </c>
      <c r="B20" s="7"/>
      <c r="C20" s="64" t="s">
        <v>416</v>
      </c>
      <c r="D20" s="103"/>
      <c r="E20" s="101">
        <f t="shared" si="0"/>
        <v>285.1</v>
      </c>
      <c r="F20" s="101">
        <f t="shared" si="0"/>
        <v>180.4</v>
      </c>
      <c r="G20" s="101">
        <f>+G22+G23</f>
        <v>18.9</v>
      </c>
      <c r="H20" s="101">
        <f>+H22+H23</f>
        <v>6.6000000000000005</v>
      </c>
      <c r="I20" s="101">
        <f>+I22+I23</f>
        <v>0</v>
      </c>
      <c r="J20" s="101">
        <v>0</v>
      </c>
      <c r="K20" s="101">
        <f>+K22+K23</f>
        <v>266.20000000000005</v>
      </c>
      <c r="L20" s="101">
        <f>+L22+L23</f>
        <v>173.8</v>
      </c>
      <c r="Q20" s="96"/>
      <c r="U20" s="1"/>
      <c r="V20" s="37"/>
    </row>
    <row r="21" spans="1:22" ht="15" customHeight="1">
      <c r="A21" s="13"/>
      <c r="B21" s="7"/>
      <c r="C21" s="35" t="s">
        <v>121</v>
      </c>
      <c r="D21" s="93"/>
      <c r="E21" s="101"/>
      <c r="F21" s="101"/>
      <c r="G21" s="101"/>
      <c r="H21" s="101"/>
      <c r="I21" s="101"/>
      <c r="J21" s="101"/>
      <c r="K21" s="101"/>
      <c r="L21" s="143"/>
      <c r="Q21" s="96"/>
      <c r="U21" s="1"/>
      <c r="V21" s="37"/>
    </row>
    <row r="22" spans="1:22" ht="26.25" customHeight="1">
      <c r="A22" s="13" t="s">
        <v>557</v>
      </c>
      <c r="B22" s="9"/>
      <c r="C22" s="64" t="s">
        <v>312</v>
      </c>
      <c r="D22" s="81" t="s">
        <v>358</v>
      </c>
      <c r="E22" s="101">
        <f t="shared" si="0"/>
        <v>58.3</v>
      </c>
      <c r="F22" s="101">
        <f t="shared" si="0"/>
        <v>39.6</v>
      </c>
      <c r="G22" s="101">
        <f>1+14.2</f>
        <v>15.2</v>
      </c>
      <c r="H22" s="101">
        <v>5.4</v>
      </c>
      <c r="I22" s="101"/>
      <c r="J22" s="101"/>
      <c r="K22" s="101">
        <f>58.3-1-14.2</f>
        <v>43.099999999999994</v>
      </c>
      <c r="L22" s="143">
        <v>34.2</v>
      </c>
      <c r="Q22" s="96"/>
      <c r="U22" s="1"/>
      <c r="V22" s="37"/>
    </row>
    <row r="23" spans="1:22" ht="41.25" customHeight="1">
      <c r="A23" s="13" t="s">
        <v>558</v>
      </c>
      <c r="B23" s="9"/>
      <c r="C23" s="64" t="s">
        <v>620</v>
      </c>
      <c r="D23" s="11" t="s">
        <v>255</v>
      </c>
      <c r="E23" s="101">
        <f t="shared" si="0"/>
        <v>226.8</v>
      </c>
      <c r="F23" s="101">
        <f t="shared" si="0"/>
        <v>140.79999999999998</v>
      </c>
      <c r="G23" s="101">
        <f>2.5+1.2</f>
        <v>3.7</v>
      </c>
      <c r="H23" s="101">
        <v>1.2</v>
      </c>
      <c r="I23" s="101"/>
      <c r="J23" s="101"/>
      <c r="K23" s="101">
        <f>224.3-1.2</f>
        <v>223.10000000000002</v>
      </c>
      <c r="L23" s="143">
        <v>139.6</v>
      </c>
      <c r="Q23" s="96"/>
      <c r="U23" s="1"/>
      <c r="V23" s="37"/>
    </row>
    <row r="24" spans="1:22" ht="28.5" customHeight="1">
      <c r="A24" s="13">
        <v>7</v>
      </c>
      <c r="B24" s="7" t="s">
        <v>177</v>
      </c>
      <c r="C24" s="68" t="s">
        <v>178</v>
      </c>
      <c r="D24" s="9"/>
      <c r="E24" s="142">
        <f t="shared" si="0"/>
        <v>532.6</v>
      </c>
      <c r="F24" s="142">
        <f t="shared" si="0"/>
        <v>445.1</v>
      </c>
      <c r="G24" s="142">
        <f>+G25</f>
        <v>27.9</v>
      </c>
      <c r="H24" s="142">
        <f>+H25</f>
        <v>3.3</v>
      </c>
      <c r="I24" s="142">
        <f>+I25</f>
        <v>0</v>
      </c>
      <c r="J24" s="142">
        <v>0</v>
      </c>
      <c r="K24" s="142">
        <f>+K25</f>
        <v>504.70000000000005</v>
      </c>
      <c r="L24" s="142">
        <f>+L25</f>
        <v>441.8</v>
      </c>
      <c r="Q24" s="96"/>
      <c r="U24" s="1"/>
      <c r="V24" s="37"/>
    </row>
    <row r="25" spans="1:22" ht="16.5" customHeight="1">
      <c r="A25" s="13">
        <v>8</v>
      </c>
      <c r="B25" s="7"/>
      <c r="C25" s="35" t="s">
        <v>416</v>
      </c>
      <c r="E25" s="101">
        <f t="shared" si="0"/>
        <v>532.6</v>
      </c>
      <c r="F25" s="101">
        <f t="shared" si="0"/>
        <v>445.1</v>
      </c>
      <c r="G25" s="101">
        <f>+G27+G28+G29+G30</f>
        <v>27.9</v>
      </c>
      <c r="H25" s="101">
        <f>+H27+H28+H29+H30</f>
        <v>3.3</v>
      </c>
      <c r="I25" s="101">
        <f>+I27+I28+I29</f>
        <v>0</v>
      </c>
      <c r="J25" s="101">
        <v>0</v>
      </c>
      <c r="K25" s="101">
        <f>+K27+K28+K29</f>
        <v>504.70000000000005</v>
      </c>
      <c r="L25" s="101">
        <f>+L27+L28+L29</f>
        <v>441.8</v>
      </c>
      <c r="Q25" s="96"/>
      <c r="U25" s="1"/>
      <c r="V25" s="37"/>
    </row>
    <row r="26" spans="1:22" ht="16.5" customHeight="1">
      <c r="A26" s="13"/>
      <c r="B26" s="7"/>
      <c r="C26" s="35" t="s">
        <v>121</v>
      </c>
      <c r="D26" s="17"/>
      <c r="E26" s="101"/>
      <c r="F26" s="101"/>
      <c r="G26" s="101"/>
      <c r="H26" s="101"/>
      <c r="I26" s="101"/>
      <c r="J26" s="101"/>
      <c r="K26" s="101"/>
      <c r="L26" s="143"/>
      <c r="Q26" s="96"/>
      <c r="U26" s="1"/>
      <c r="V26" s="37"/>
    </row>
    <row r="27" spans="1:22" ht="42.75" customHeight="1">
      <c r="A27" s="13" t="s">
        <v>559</v>
      </c>
      <c r="B27" s="9"/>
      <c r="C27" s="102" t="s">
        <v>313</v>
      </c>
      <c r="D27" s="9" t="s">
        <v>360</v>
      </c>
      <c r="E27" s="101">
        <f aca="true" t="shared" si="1" ref="E27:F32">+G27+K27</f>
        <v>20</v>
      </c>
      <c r="F27" s="101">
        <f t="shared" si="1"/>
        <v>0.1</v>
      </c>
      <c r="G27" s="101">
        <f>50-30</f>
        <v>20</v>
      </c>
      <c r="H27" s="101">
        <v>0.1</v>
      </c>
      <c r="I27" s="101"/>
      <c r="J27" s="101"/>
      <c r="K27" s="101"/>
      <c r="L27" s="143"/>
      <c r="Q27" s="96"/>
      <c r="U27" s="1"/>
      <c r="V27" s="37"/>
    </row>
    <row r="28" spans="1:22" ht="21" customHeight="1">
      <c r="A28" s="13" t="s">
        <v>560</v>
      </c>
      <c r="B28" s="9"/>
      <c r="C28" s="102" t="s">
        <v>637</v>
      </c>
      <c r="D28" s="9" t="s">
        <v>207</v>
      </c>
      <c r="E28" s="101">
        <f t="shared" si="1"/>
        <v>401.20000000000005</v>
      </c>
      <c r="F28" s="101">
        <f t="shared" si="1"/>
        <v>361.40000000000003</v>
      </c>
      <c r="G28" s="101">
        <f>4.1+0.7</f>
        <v>4.8</v>
      </c>
      <c r="H28" s="101">
        <v>0.8</v>
      </c>
      <c r="I28" s="101"/>
      <c r="J28" s="101"/>
      <c r="K28" s="101">
        <f>398-0.7-0.9</f>
        <v>396.40000000000003</v>
      </c>
      <c r="L28" s="143">
        <v>360.6</v>
      </c>
      <c r="Q28" s="96"/>
      <c r="U28" s="1"/>
      <c r="V28" s="37"/>
    </row>
    <row r="29" spans="1:22" ht="42.75" customHeight="1">
      <c r="A29" s="13" t="s">
        <v>561</v>
      </c>
      <c r="B29" s="9"/>
      <c r="C29" s="98" t="s">
        <v>320</v>
      </c>
      <c r="D29" s="9" t="s">
        <v>360</v>
      </c>
      <c r="E29" s="101">
        <f t="shared" si="1"/>
        <v>110</v>
      </c>
      <c r="F29" s="101">
        <f t="shared" si="1"/>
        <v>82.3</v>
      </c>
      <c r="G29" s="101">
        <v>1.7</v>
      </c>
      <c r="H29" s="101">
        <v>1.1</v>
      </c>
      <c r="I29" s="101"/>
      <c r="J29" s="101"/>
      <c r="K29" s="101">
        <v>108.3</v>
      </c>
      <c r="L29" s="143">
        <v>81.2</v>
      </c>
      <c r="Q29" s="96"/>
      <c r="U29" s="1"/>
      <c r="V29" s="37"/>
    </row>
    <row r="30" spans="1:22" ht="42.75" customHeight="1">
      <c r="A30" s="13" t="s">
        <v>647</v>
      </c>
      <c r="B30" s="9"/>
      <c r="C30" s="39" t="s">
        <v>643</v>
      </c>
      <c r="D30" s="9" t="s">
        <v>249</v>
      </c>
      <c r="E30" s="101">
        <f t="shared" si="1"/>
        <v>1.4</v>
      </c>
      <c r="F30" s="101">
        <f t="shared" si="1"/>
        <v>1.3</v>
      </c>
      <c r="G30" s="101">
        <v>1.4</v>
      </c>
      <c r="H30" s="101">
        <v>1.3</v>
      </c>
      <c r="I30" s="101"/>
      <c r="J30" s="101"/>
      <c r="K30" s="101"/>
      <c r="L30" s="143"/>
      <c r="Q30" s="96"/>
      <c r="U30" s="1"/>
      <c r="V30" s="37"/>
    </row>
    <row r="31" spans="1:22" ht="22.5" customHeight="1">
      <c r="A31" s="13">
        <v>9</v>
      </c>
      <c r="B31" s="7" t="s">
        <v>135</v>
      </c>
      <c r="C31" s="74" t="s">
        <v>136</v>
      </c>
      <c r="D31" s="9"/>
      <c r="E31" s="142">
        <f t="shared" si="1"/>
        <v>353.3</v>
      </c>
      <c r="F31" s="142">
        <f t="shared" si="1"/>
        <v>71.7</v>
      </c>
      <c r="G31" s="142">
        <f>+G32</f>
        <v>5.1</v>
      </c>
      <c r="H31" s="142">
        <f>+H32</f>
        <v>0</v>
      </c>
      <c r="I31" s="142">
        <f>+I32</f>
        <v>0</v>
      </c>
      <c r="J31" s="142">
        <v>0</v>
      </c>
      <c r="K31" s="142">
        <f>+K32</f>
        <v>348.2</v>
      </c>
      <c r="L31" s="142">
        <f>+L32</f>
        <v>71.7</v>
      </c>
      <c r="Q31" s="96"/>
      <c r="U31" s="1"/>
      <c r="V31" s="37"/>
    </row>
    <row r="32" spans="1:22" ht="15.75" customHeight="1">
      <c r="A32" s="13">
        <v>10</v>
      </c>
      <c r="B32" s="9"/>
      <c r="C32" s="35" t="s">
        <v>416</v>
      </c>
      <c r="D32" s="11"/>
      <c r="E32" s="101">
        <f t="shared" si="1"/>
        <v>353.3</v>
      </c>
      <c r="F32" s="101">
        <f t="shared" si="1"/>
        <v>71.7</v>
      </c>
      <c r="G32" s="101">
        <f>+G34+G35</f>
        <v>5.1</v>
      </c>
      <c r="H32" s="101">
        <f>+H34+H35</f>
        <v>0</v>
      </c>
      <c r="I32" s="101">
        <f>+I34+I35</f>
        <v>0</v>
      </c>
      <c r="J32" s="101">
        <v>0</v>
      </c>
      <c r="K32" s="101">
        <f>+K34+K35</f>
        <v>348.2</v>
      </c>
      <c r="L32" s="101">
        <f>+L34+L35</f>
        <v>71.7</v>
      </c>
      <c r="Q32" s="96"/>
      <c r="U32" s="1"/>
      <c r="V32" s="37"/>
    </row>
    <row r="33" spans="1:22" ht="15.75" customHeight="1">
      <c r="A33" s="13"/>
      <c r="B33" s="9"/>
      <c r="C33" s="35" t="s">
        <v>121</v>
      </c>
      <c r="D33" s="11"/>
      <c r="E33" s="101"/>
      <c r="F33" s="101"/>
      <c r="G33" s="101"/>
      <c r="H33" s="101"/>
      <c r="I33" s="101"/>
      <c r="J33" s="101"/>
      <c r="K33" s="101"/>
      <c r="L33" s="143"/>
      <c r="Q33" s="96"/>
      <c r="U33" s="1"/>
      <c r="V33" s="37"/>
    </row>
    <row r="34" spans="1:22" ht="17.25" customHeight="1">
      <c r="A34" s="13" t="s">
        <v>562</v>
      </c>
      <c r="B34" s="9"/>
      <c r="C34" s="97" t="s">
        <v>240</v>
      </c>
      <c r="D34" s="11" t="s">
        <v>207</v>
      </c>
      <c r="E34" s="101">
        <f aca="true" t="shared" si="2" ref="E34:F37">+G34+K34</f>
        <v>13.3</v>
      </c>
      <c r="F34" s="101">
        <f t="shared" si="2"/>
        <v>13.3</v>
      </c>
      <c r="G34" s="101"/>
      <c r="H34" s="101"/>
      <c r="I34" s="101"/>
      <c r="J34" s="101"/>
      <c r="K34" s="101">
        <v>13.3</v>
      </c>
      <c r="L34" s="143">
        <v>13.3</v>
      </c>
      <c r="Q34" s="96"/>
      <c r="U34" s="1"/>
      <c r="V34" s="37"/>
    </row>
    <row r="35" spans="1:22" ht="42.75" customHeight="1">
      <c r="A35" s="13" t="s">
        <v>625</v>
      </c>
      <c r="B35" s="9"/>
      <c r="C35" s="97" t="s">
        <v>336</v>
      </c>
      <c r="D35" s="11" t="s">
        <v>363</v>
      </c>
      <c r="E35" s="101">
        <f t="shared" si="2"/>
        <v>340</v>
      </c>
      <c r="F35" s="101">
        <f t="shared" si="2"/>
        <v>58.4</v>
      </c>
      <c r="G35" s="101">
        <v>5.1</v>
      </c>
      <c r="H35" s="101">
        <v>0</v>
      </c>
      <c r="I35" s="101"/>
      <c r="J35" s="101"/>
      <c r="K35" s="101">
        <f>334.9</f>
        <v>334.9</v>
      </c>
      <c r="L35" s="143">
        <v>58.4</v>
      </c>
      <c r="Q35" s="96"/>
      <c r="U35" s="1"/>
      <c r="V35" s="37"/>
    </row>
    <row r="36" spans="1:22" ht="17.25" customHeight="1">
      <c r="A36" s="13">
        <v>11</v>
      </c>
      <c r="B36" s="7" t="s">
        <v>140</v>
      </c>
      <c r="C36" s="10" t="s">
        <v>141</v>
      </c>
      <c r="D36" s="9"/>
      <c r="E36" s="142">
        <f t="shared" si="2"/>
        <v>110</v>
      </c>
      <c r="F36" s="142">
        <f t="shared" si="2"/>
        <v>38.4</v>
      </c>
      <c r="G36" s="142">
        <f>+G37</f>
        <v>110</v>
      </c>
      <c r="H36" s="142">
        <f>+H37</f>
        <v>38.4</v>
      </c>
      <c r="I36" s="142">
        <f>+I37</f>
        <v>0</v>
      </c>
      <c r="J36" s="142">
        <v>0</v>
      </c>
      <c r="K36" s="142">
        <f>+K37</f>
        <v>0</v>
      </c>
      <c r="L36" s="157">
        <v>0</v>
      </c>
      <c r="Q36" s="96"/>
      <c r="U36" s="1"/>
      <c r="V36" s="37"/>
    </row>
    <row r="37" spans="1:22" ht="17.25" customHeight="1">
      <c r="A37" s="13">
        <v>12</v>
      </c>
      <c r="B37" s="9"/>
      <c r="C37" s="35" t="s">
        <v>416</v>
      </c>
      <c r="D37" s="9"/>
      <c r="E37" s="101">
        <f t="shared" si="2"/>
        <v>110</v>
      </c>
      <c r="F37" s="101">
        <f t="shared" si="2"/>
        <v>38.4</v>
      </c>
      <c r="G37" s="101">
        <f>+G39</f>
        <v>110</v>
      </c>
      <c r="H37" s="101">
        <f>+H39</f>
        <v>38.4</v>
      </c>
      <c r="I37" s="101">
        <f>+I39</f>
        <v>0</v>
      </c>
      <c r="J37" s="101">
        <v>0</v>
      </c>
      <c r="K37" s="101">
        <f>+K39</f>
        <v>0</v>
      </c>
      <c r="L37" s="143">
        <v>0</v>
      </c>
      <c r="Q37" s="96"/>
      <c r="U37" s="1"/>
      <c r="V37" s="37"/>
    </row>
    <row r="38" spans="1:22" ht="17.25" customHeight="1">
      <c r="A38" s="13"/>
      <c r="B38" s="9"/>
      <c r="C38" s="35" t="s">
        <v>121</v>
      </c>
      <c r="D38" s="9"/>
      <c r="E38" s="101"/>
      <c r="F38" s="101"/>
      <c r="G38" s="101"/>
      <c r="H38" s="101"/>
      <c r="I38" s="101"/>
      <c r="J38" s="101"/>
      <c r="K38" s="101"/>
      <c r="L38" s="143"/>
      <c r="Q38" s="96"/>
      <c r="U38" s="1"/>
      <c r="V38" s="37"/>
    </row>
    <row r="39" spans="1:22" ht="29.25" customHeight="1">
      <c r="A39" s="13" t="s">
        <v>563</v>
      </c>
      <c r="B39" s="9"/>
      <c r="C39" s="97" t="s">
        <v>346</v>
      </c>
      <c r="D39" s="9" t="s">
        <v>364</v>
      </c>
      <c r="E39" s="101">
        <f>+G39+K39</f>
        <v>110</v>
      </c>
      <c r="F39" s="101">
        <f>+H39+L39</f>
        <v>38.4</v>
      </c>
      <c r="G39" s="101">
        <v>110</v>
      </c>
      <c r="H39" s="101">
        <v>38.4</v>
      </c>
      <c r="I39" s="101"/>
      <c r="J39" s="101"/>
      <c r="K39" s="101"/>
      <c r="L39" s="143"/>
      <c r="Q39" s="96"/>
      <c r="U39" s="1"/>
      <c r="V39" s="37"/>
    </row>
    <row r="40" spans="1:17" ht="15.75" customHeight="1">
      <c r="A40" s="13">
        <v>13</v>
      </c>
      <c r="B40" s="9"/>
      <c r="C40" s="49" t="s">
        <v>20</v>
      </c>
      <c r="D40" s="9"/>
      <c r="E40" s="79">
        <f>+G40+K40</f>
        <v>1726.1000000000001</v>
      </c>
      <c r="F40" s="79">
        <f>+H40+L40</f>
        <v>1170</v>
      </c>
      <c r="G40" s="79">
        <f>+G12+G14+G19+G24+G31+G36</f>
        <v>185.79999999999998</v>
      </c>
      <c r="H40" s="79">
        <f>+H12+H14+H19+H24+H31+H36</f>
        <v>68.3</v>
      </c>
      <c r="I40" s="79">
        <f>+I12+I14+I19+I24+I31+I36</f>
        <v>0</v>
      </c>
      <c r="J40" s="79">
        <v>0</v>
      </c>
      <c r="K40" s="79">
        <f>+K12+K14+K19+K24+K31+K36</f>
        <v>1540.3000000000002</v>
      </c>
      <c r="L40" s="79">
        <f>+L12+L14+L19+L24+L31+L36</f>
        <v>1101.7</v>
      </c>
      <c r="M40" s="1"/>
      <c r="N40" s="1"/>
      <c r="O40" s="1"/>
      <c r="P40" s="1"/>
      <c r="Q40" s="96"/>
    </row>
    <row r="41" spans="3:12" ht="12.75">
      <c r="C41" s="18" t="s">
        <v>184</v>
      </c>
      <c r="D41" s="22"/>
      <c r="E41" s="25"/>
      <c r="F41" s="25"/>
      <c r="G41" s="25"/>
      <c r="H41" s="25"/>
      <c r="I41" s="1"/>
      <c r="J41" s="1"/>
      <c r="K41" s="1"/>
      <c r="L41" s="2"/>
    </row>
    <row r="42" spans="4:13" ht="12.75">
      <c r="D42" s="2"/>
      <c r="E42" s="1"/>
      <c r="F42" s="1"/>
      <c r="G42" s="1"/>
      <c r="H42" s="1"/>
      <c r="I42" s="1"/>
      <c r="J42" s="1"/>
      <c r="K42" s="1"/>
      <c r="L42" s="2"/>
      <c r="M42" s="1"/>
    </row>
    <row r="43" spans="4:12" ht="12.75">
      <c r="D43" s="2"/>
      <c r="E43" s="1"/>
      <c r="F43" s="1"/>
      <c r="G43" s="63"/>
      <c r="H43" s="63"/>
      <c r="I43" s="63"/>
      <c r="J43" s="63"/>
      <c r="K43" s="63"/>
      <c r="L43" s="2"/>
    </row>
    <row r="44" spans="5:13" ht="12.75">
      <c r="E44" s="1"/>
      <c r="F44" s="1"/>
      <c r="G44" s="63"/>
      <c r="H44" s="63"/>
      <c r="I44" s="63"/>
      <c r="J44" s="63"/>
      <c r="K44" s="63"/>
      <c r="L44" s="1"/>
      <c r="M44" s="1"/>
    </row>
    <row r="45" spans="5:13" ht="12.75">
      <c r="E45" s="63"/>
      <c r="F45" s="63"/>
      <c r="G45" s="1"/>
      <c r="H45" s="1"/>
      <c r="I45" s="1"/>
      <c r="J45" s="1"/>
      <c r="K45" s="1"/>
      <c r="L45" s="1"/>
      <c r="M45" s="1"/>
    </row>
    <row r="46" spans="3:8" ht="12.75">
      <c r="C46" s="19"/>
      <c r="E46" s="1"/>
      <c r="F46" s="1"/>
      <c r="G46" s="63"/>
      <c r="H46" s="63"/>
    </row>
    <row r="47" spans="5:10" ht="12.75">
      <c r="E47" s="1"/>
      <c r="F47" s="1"/>
      <c r="G47" s="1"/>
      <c r="H47" s="1"/>
      <c r="I47" s="1"/>
      <c r="J47" s="1"/>
    </row>
    <row r="48" spans="3:11" ht="12.75">
      <c r="C48" s="5"/>
      <c r="D48" s="5"/>
      <c r="E48" s="1"/>
      <c r="F48" s="1"/>
      <c r="G48" s="1"/>
      <c r="H48" s="1"/>
      <c r="I48" s="1"/>
      <c r="J48" s="1"/>
      <c r="K48" s="1"/>
    </row>
    <row r="49" spans="3:10" ht="12.75">
      <c r="C49" s="5"/>
      <c r="D49" s="5"/>
      <c r="E49" s="1"/>
      <c r="F49" s="1"/>
      <c r="G49" s="1"/>
      <c r="H49" s="1"/>
      <c r="I49" s="1"/>
      <c r="J49" s="1"/>
    </row>
    <row r="50" spans="5:11" ht="12.75">
      <c r="E50" s="25"/>
      <c r="F50" s="25"/>
      <c r="G50" s="1"/>
      <c r="H50" s="1"/>
      <c r="I50" s="1"/>
      <c r="J50" s="1"/>
      <c r="K50" s="1"/>
    </row>
    <row r="51" spans="5:11" ht="12.75">
      <c r="E51" s="25"/>
      <c r="F51" s="25"/>
      <c r="G51" s="25"/>
      <c r="H51" s="25"/>
      <c r="I51" s="25"/>
      <c r="J51" s="25"/>
      <c r="K51" s="25"/>
    </row>
    <row r="52" spans="5:6" ht="12.75">
      <c r="E52" s="25"/>
      <c r="F52" s="25"/>
    </row>
    <row r="53" spans="5:11" ht="12.75">
      <c r="E53" s="1"/>
      <c r="F53" s="1"/>
      <c r="G53" s="1"/>
      <c r="H53" s="1"/>
      <c r="I53" s="1"/>
      <c r="J53" s="1"/>
      <c r="K53" s="1"/>
    </row>
    <row r="55" spans="5:12" ht="12.75">
      <c r="E55" s="1"/>
      <c r="F55" s="1"/>
      <c r="G55" s="1"/>
      <c r="H55" s="1"/>
      <c r="I55" s="1"/>
      <c r="J55" s="1"/>
      <c r="K55" s="1"/>
      <c r="L55" s="52"/>
    </row>
  </sheetData>
  <sheetProtection/>
  <mergeCells count="20">
    <mergeCell ref="A5:K5"/>
    <mergeCell ref="G7:L7"/>
    <mergeCell ref="E7:F8"/>
    <mergeCell ref="E3:L3"/>
    <mergeCell ref="C2:L2"/>
    <mergeCell ref="C1:L1"/>
    <mergeCell ref="I6:L6"/>
    <mergeCell ref="E9:E10"/>
    <mergeCell ref="A7:A10"/>
    <mergeCell ref="B7:B10"/>
    <mergeCell ref="C7:C10"/>
    <mergeCell ref="D7:D10"/>
    <mergeCell ref="F9:F10"/>
    <mergeCell ref="H9:H10"/>
    <mergeCell ref="K9:K10"/>
    <mergeCell ref="G8:J8"/>
    <mergeCell ref="K8:L8"/>
    <mergeCell ref="I9:J9"/>
    <mergeCell ref="G9:G10"/>
    <mergeCell ref="L9:L10"/>
  </mergeCells>
  <printOptions/>
  <pageMargins left="0.31496062992125984" right="0.11811023622047245" top="0.3937007874015748" bottom="0.3937007874015748"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S125"/>
  <sheetViews>
    <sheetView zoomScalePageLayoutView="0" workbookViewId="0" topLeftCell="A1">
      <selection activeCell="D27" sqref="D27"/>
    </sheetView>
  </sheetViews>
  <sheetFormatPr defaultColWidth="9.140625" defaultRowHeight="12.75"/>
  <cols>
    <col min="1" max="1" width="4.57421875" style="2" customWidth="1"/>
    <col min="2" max="2" width="5.421875" style="3" customWidth="1"/>
    <col min="3" max="3" width="51.57421875" style="19" customWidth="1"/>
    <col min="4" max="4" width="10.421875" style="72" customWidth="1"/>
    <col min="5" max="5" width="7.57421875" style="5" customWidth="1"/>
    <col min="6" max="6" width="8.140625" style="5" customWidth="1"/>
    <col min="7" max="7" width="7.57421875" style="5" customWidth="1"/>
    <col min="8" max="8" width="8.00390625" style="5" customWidth="1"/>
    <col min="9" max="9" width="9.00390625" style="5" customWidth="1"/>
    <col min="10" max="10" width="9.421875" style="5" customWidth="1"/>
    <col min="11" max="11" width="6.8515625" style="5" customWidth="1"/>
    <col min="12" max="12" width="8.140625" style="2" customWidth="1"/>
    <col min="13" max="13" width="9.57421875" style="2" customWidth="1"/>
    <col min="14" max="16384" width="9.140625" style="2" customWidth="1"/>
  </cols>
  <sheetData>
    <row r="1" spans="3:12" ht="15.75">
      <c r="C1" s="216" t="s">
        <v>654</v>
      </c>
      <c r="D1" s="217"/>
      <c r="E1" s="217"/>
      <c r="F1" s="217"/>
      <c r="G1" s="217"/>
      <c r="H1" s="217"/>
      <c r="I1" s="217"/>
      <c r="J1" s="217"/>
      <c r="K1" s="217"/>
      <c r="L1" s="244"/>
    </row>
    <row r="2" spans="3:12" ht="15.75">
      <c r="C2" s="216" t="s">
        <v>656</v>
      </c>
      <c r="D2" s="217"/>
      <c r="E2" s="217"/>
      <c r="F2" s="217"/>
      <c r="G2" s="217"/>
      <c r="H2" s="217"/>
      <c r="I2" s="217"/>
      <c r="J2" s="217"/>
      <c r="K2" s="217"/>
      <c r="L2" s="244"/>
    </row>
    <row r="3" spans="3:12" ht="15.75">
      <c r="C3" s="217" t="s">
        <v>659</v>
      </c>
      <c r="D3" s="217"/>
      <c r="E3" s="217"/>
      <c r="F3" s="217"/>
      <c r="G3" s="217"/>
      <c r="H3" s="217"/>
      <c r="I3" s="217"/>
      <c r="J3" s="217"/>
      <c r="K3" s="217"/>
      <c r="L3" s="244"/>
    </row>
    <row r="4" spans="1:12" ht="25.5" customHeight="1">
      <c r="A4" s="248" t="s">
        <v>277</v>
      </c>
      <c r="B4" s="248"/>
      <c r="C4" s="248"/>
      <c r="D4" s="248"/>
      <c r="E4" s="248"/>
      <c r="F4" s="248"/>
      <c r="G4" s="248"/>
      <c r="H4" s="248"/>
      <c r="I4" s="248"/>
      <c r="J4" s="248"/>
      <c r="K4" s="248"/>
      <c r="L4" s="248"/>
    </row>
    <row r="5" spans="10:12" ht="12.75">
      <c r="J5" s="219" t="s">
        <v>256</v>
      </c>
      <c r="K5" s="220"/>
      <c r="L5" s="220"/>
    </row>
    <row r="6" spans="1:12" ht="13.5" customHeight="1">
      <c r="A6" s="234" t="s">
        <v>0</v>
      </c>
      <c r="B6" s="234" t="s">
        <v>649</v>
      </c>
      <c r="C6" s="234" t="s">
        <v>16</v>
      </c>
      <c r="D6" s="234" t="s">
        <v>100</v>
      </c>
      <c r="E6" s="227" t="s">
        <v>17</v>
      </c>
      <c r="F6" s="228"/>
      <c r="G6" s="221" t="s">
        <v>18</v>
      </c>
      <c r="H6" s="226"/>
      <c r="I6" s="226"/>
      <c r="J6" s="226"/>
      <c r="K6" s="226"/>
      <c r="L6" s="222"/>
    </row>
    <row r="7" spans="1:12" ht="12.75">
      <c r="A7" s="234"/>
      <c r="B7" s="234"/>
      <c r="C7" s="234"/>
      <c r="D7" s="234"/>
      <c r="E7" s="229"/>
      <c r="F7" s="230"/>
      <c r="G7" s="221" t="s">
        <v>156</v>
      </c>
      <c r="H7" s="226"/>
      <c r="I7" s="226"/>
      <c r="J7" s="222"/>
      <c r="K7" s="221" t="s">
        <v>29</v>
      </c>
      <c r="L7" s="222"/>
    </row>
    <row r="8" spans="1:12" ht="23.25" customHeight="1">
      <c r="A8" s="234"/>
      <c r="B8" s="234"/>
      <c r="C8" s="234"/>
      <c r="D8" s="234"/>
      <c r="E8" s="223" t="s">
        <v>650</v>
      </c>
      <c r="F8" s="223" t="s">
        <v>651</v>
      </c>
      <c r="G8" s="223" t="s">
        <v>650</v>
      </c>
      <c r="H8" s="223" t="s">
        <v>651</v>
      </c>
      <c r="I8" s="249" t="s">
        <v>30</v>
      </c>
      <c r="J8" s="222"/>
      <c r="K8" s="223" t="s">
        <v>650</v>
      </c>
      <c r="L8" s="223" t="s">
        <v>651</v>
      </c>
    </row>
    <row r="9" spans="1:12" ht="13.5" customHeight="1">
      <c r="A9" s="234"/>
      <c r="B9" s="234"/>
      <c r="C9" s="234"/>
      <c r="D9" s="234"/>
      <c r="E9" s="224"/>
      <c r="F9" s="224"/>
      <c r="G9" s="224"/>
      <c r="H9" s="224"/>
      <c r="I9" s="42" t="s">
        <v>650</v>
      </c>
      <c r="J9" s="6" t="s">
        <v>651</v>
      </c>
      <c r="K9" s="224"/>
      <c r="L9" s="224"/>
    </row>
    <row r="10" spans="1:12" ht="12.75">
      <c r="A10" s="6">
        <v>1</v>
      </c>
      <c r="B10" s="6">
        <v>2</v>
      </c>
      <c r="C10" s="6">
        <v>3</v>
      </c>
      <c r="D10" s="6">
        <v>4</v>
      </c>
      <c r="E10" s="6">
        <v>5</v>
      </c>
      <c r="F10" s="6">
        <v>6</v>
      </c>
      <c r="G10" s="6">
        <v>7</v>
      </c>
      <c r="H10" s="6">
        <v>8</v>
      </c>
      <c r="I10" s="6">
        <v>9</v>
      </c>
      <c r="J10" s="6">
        <v>10</v>
      </c>
      <c r="K10" s="6">
        <v>11</v>
      </c>
      <c r="L10" s="31">
        <v>12</v>
      </c>
    </row>
    <row r="11" spans="1:15" s="14" customFormat="1" ht="19.5" customHeight="1">
      <c r="A11" s="55">
        <v>1</v>
      </c>
      <c r="B11" s="8" t="s">
        <v>112</v>
      </c>
      <c r="C11" s="50" t="s">
        <v>113</v>
      </c>
      <c r="D11" s="8"/>
      <c r="E11" s="133">
        <f aca="true" t="shared" si="0" ref="E11:K11">SUM(E12+E14+E16)</f>
        <v>210</v>
      </c>
      <c r="F11" s="133">
        <f t="shared" si="0"/>
        <v>209.89999999999998</v>
      </c>
      <c r="G11" s="133">
        <f t="shared" si="0"/>
        <v>210</v>
      </c>
      <c r="H11" s="133">
        <f t="shared" si="0"/>
        <v>209.89999999999998</v>
      </c>
      <c r="I11" s="133">
        <f t="shared" si="0"/>
        <v>122.9</v>
      </c>
      <c r="J11" s="133">
        <f t="shared" si="0"/>
        <v>122.9</v>
      </c>
      <c r="K11" s="133">
        <f t="shared" si="0"/>
        <v>0</v>
      </c>
      <c r="L11" s="66"/>
      <c r="M11" s="34"/>
      <c r="N11" s="34"/>
      <c r="O11" s="34"/>
    </row>
    <row r="12" spans="1:15" s="14" customFormat="1" ht="12" customHeight="1">
      <c r="A12" s="55">
        <v>2</v>
      </c>
      <c r="B12" s="8"/>
      <c r="C12" s="20" t="s">
        <v>185</v>
      </c>
      <c r="D12" s="11" t="s">
        <v>114</v>
      </c>
      <c r="E12" s="127">
        <f>+E13</f>
        <v>124.39999999999999</v>
      </c>
      <c r="F12" s="127">
        <f>+F13</f>
        <v>124.4</v>
      </c>
      <c r="G12" s="127">
        <f>+G13</f>
        <v>124.39999999999999</v>
      </c>
      <c r="H12" s="127">
        <v>124.4</v>
      </c>
      <c r="I12" s="127">
        <f>+I13</f>
        <v>76.5</v>
      </c>
      <c r="J12" s="127">
        <f>+J13</f>
        <v>76.5</v>
      </c>
      <c r="K12" s="127"/>
      <c r="L12" s="66"/>
      <c r="M12" s="34"/>
      <c r="N12" s="34"/>
      <c r="O12" s="34"/>
    </row>
    <row r="13" spans="1:15" s="14" customFormat="1" ht="12" customHeight="1">
      <c r="A13" s="55">
        <v>3</v>
      </c>
      <c r="B13" s="8"/>
      <c r="C13" s="39" t="s">
        <v>94</v>
      </c>
      <c r="D13" s="8"/>
      <c r="E13" s="137">
        <f>+G13+K13</f>
        <v>124.39999999999999</v>
      </c>
      <c r="F13" s="137">
        <f>+H13+L13</f>
        <v>124.4</v>
      </c>
      <c r="G13" s="137">
        <f>122.1+2.3</f>
        <v>124.39999999999999</v>
      </c>
      <c r="H13" s="137">
        <v>124.4</v>
      </c>
      <c r="I13" s="137">
        <f>74.7+1.8</f>
        <v>76.5</v>
      </c>
      <c r="J13" s="137">
        <v>76.5</v>
      </c>
      <c r="K13" s="137"/>
      <c r="L13" s="66"/>
      <c r="M13" s="34"/>
      <c r="N13" s="34"/>
      <c r="O13" s="34"/>
    </row>
    <row r="14" spans="1:15" s="14" customFormat="1" ht="12" customHeight="1">
      <c r="A14" s="55">
        <v>4</v>
      </c>
      <c r="B14" s="8"/>
      <c r="C14" s="20" t="s">
        <v>186</v>
      </c>
      <c r="D14" s="11" t="s">
        <v>114</v>
      </c>
      <c r="E14" s="127">
        <f>+E15</f>
        <v>81.3</v>
      </c>
      <c r="F14" s="127">
        <f>+F15</f>
        <v>81.3</v>
      </c>
      <c r="G14" s="127">
        <f>+G15</f>
        <v>81.3</v>
      </c>
      <c r="H14" s="127">
        <f>+H15</f>
        <v>81.3</v>
      </c>
      <c r="I14" s="127">
        <f>+I15</f>
        <v>43.2</v>
      </c>
      <c r="J14" s="127">
        <v>43.2</v>
      </c>
      <c r="K14" s="127"/>
      <c r="L14" s="66"/>
      <c r="M14" s="34"/>
      <c r="N14" s="34"/>
      <c r="O14" s="34"/>
    </row>
    <row r="15" spans="1:15" s="14" customFormat="1" ht="12" customHeight="1">
      <c r="A15" s="55">
        <v>5</v>
      </c>
      <c r="B15" s="8"/>
      <c r="C15" s="39" t="s">
        <v>94</v>
      </c>
      <c r="D15" s="8"/>
      <c r="E15" s="137">
        <f>+G15+K15</f>
        <v>81.3</v>
      </c>
      <c r="F15" s="137">
        <f>+H15+L15</f>
        <v>81.3</v>
      </c>
      <c r="G15" s="137">
        <f>79.8+1.5</f>
        <v>81.3</v>
      </c>
      <c r="H15" s="137">
        <v>81.3</v>
      </c>
      <c r="I15" s="137">
        <f>42+1.2</f>
        <v>43.2</v>
      </c>
      <c r="J15" s="137">
        <v>43.2</v>
      </c>
      <c r="K15" s="137"/>
      <c r="L15" s="66"/>
      <c r="M15" s="34"/>
      <c r="N15" s="34"/>
      <c r="O15" s="34"/>
    </row>
    <row r="16" spans="1:15" s="14" customFormat="1" ht="12" customHeight="1">
      <c r="A16" s="55">
        <v>6</v>
      </c>
      <c r="B16" s="8"/>
      <c r="C16" s="20" t="s">
        <v>278</v>
      </c>
      <c r="D16" s="11" t="s">
        <v>118</v>
      </c>
      <c r="E16" s="127">
        <f aca="true" t="shared" si="1" ref="E16:K16">+E17</f>
        <v>4.3</v>
      </c>
      <c r="F16" s="127">
        <f t="shared" si="1"/>
        <v>4.2</v>
      </c>
      <c r="G16" s="127">
        <f t="shared" si="1"/>
        <v>4.3</v>
      </c>
      <c r="H16" s="127">
        <f t="shared" si="1"/>
        <v>4.2</v>
      </c>
      <c r="I16" s="127">
        <f t="shared" si="1"/>
        <v>3.2</v>
      </c>
      <c r="J16" s="127">
        <f t="shared" si="1"/>
        <v>3.2</v>
      </c>
      <c r="K16" s="127">
        <f t="shared" si="1"/>
        <v>0</v>
      </c>
      <c r="L16" s="66"/>
      <c r="M16" s="34"/>
      <c r="N16" s="34"/>
      <c r="O16" s="34"/>
    </row>
    <row r="17" spans="1:15" s="14" customFormat="1" ht="12" customHeight="1">
      <c r="A17" s="55">
        <v>7</v>
      </c>
      <c r="B17" s="8"/>
      <c r="C17" s="69" t="s">
        <v>3</v>
      </c>
      <c r="D17" s="8"/>
      <c r="E17" s="137">
        <f>+G17+K17</f>
        <v>4.3</v>
      </c>
      <c r="F17" s="137">
        <f>+H17+L17</f>
        <v>4.2</v>
      </c>
      <c r="G17" s="137">
        <f>5.8-1.5</f>
        <v>4.3</v>
      </c>
      <c r="H17" s="137">
        <v>4.2</v>
      </c>
      <c r="I17" s="137">
        <f>4.4-1.2</f>
        <v>3.2</v>
      </c>
      <c r="J17" s="137">
        <v>3.2</v>
      </c>
      <c r="K17" s="137"/>
      <c r="L17" s="66"/>
      <c r="M17" s="34"/>
      <c r="N17" s="34"/>
      <c r="O17" s="34"/>
    </row>
    <row r="18" spans="1:15" ht="19.5" customHeight="1">
      <c r="A18" s="55">
        <v>8</v>
      </c>
      <c r="B18" s="7" t="s">
        <v>21</v>
      </c>
      <c r="C18" s="10" t="s">
        <v>22</v>
      </c>
      <c r="D18" s="9"/>
      <c r="E18" s="132">
        <f aca="true" t="shared" si="2" ref="E18:L18">SUM(E19+E25+E38+E51+E53)</f>
        <v>1250.4</v>
      </c>
      <c r="F18" s="132">
        <f t="shared" si="2"/>
        <v>1228.1</v>
      </c>
      <c r="G18" s="132">
        <f t="shared" si="2"/>
        <v>1242.8000000000002</v>
      </c>
      <c r="H18" s="132">
        <f t="shared" si="2"/>
        <v>1220.6</v>
      </c>
      <c r="I18" s="132">
        <f t="shared" si="2"/>
        <v>393.1000000000001</v>
      </c>
      <c r="J18" s="132">
        <f t="shared" si="2"/>
        <v>390.20000000000005</v>
      </c>
      <c r="K18" s="133">
        <f t="shared" si="2"/>
        <v>7.6</v>
      </c>
      <c r="L18" s="133">
        <f t="shared" si="2"/>
        <v>7.5</v>
      </c>
      <c r="M18" s="34"/>
      <c r="N18" s="34"/>
      <c r="O18" s="34"/>
    </row>
    <row r="19" spans="1:15" ht="24.75" customHeight="1">
      <c r="A19" s="55">
        <v>9</v>
      </c>
      <c r="B19" s="9" t="s">
        <v>31</v>
      </c>
      <c r="C19" s="20" t="s">
        <v>32</v>
      </c>
      <c r="D19" s="71" t="s">
        <v>24</v>
      </c>
      <c r="E19" s="138">
        <f aca="true" t="shared" si="3" ref="E19:L19">SUM(E20:E24)</f>
        <v>421.59999999999997</v>
      </c>
      <c r="F19" s="138">
        <f t="shared" si="3"/>
        <v>421.3</v>
      </c>
      <c r="G19" s="138">
        <f t="shared" si="3"/>
        <v>414</v>
      </c>
      <c r="H19" s="138">
        <f t="shared" si="3"/>
        <v>413.8</v>
      </c>
      <c r="I19" s="138">
        <f t="shared" si="3"/>
        <v>191.4</v>
      </c>
      <c r="J19" s="138">
        <f t="shared" si="3"/>
        <v>191.4</v>
      </c>
      <c r="K19" s="138">
        <f t="shared" si="3"/>
        <v>7.6</v>
      </c>
      <c r="L19" s="138">
        <f t="shared" si="3"/>
        <v>7.5</v>
      </c>
      <c r="M19" s="34"/>
      <c r="N19" s="34"/>
      <c r="O19" s="34"/>
    </row>
    <row r="20" spans="1:15" ht="12" customHeight="1">
      <c r="A20" s="55">
        <v>10</v>
      </c>
      <c r="B20" s="9"/>
      <c r="C20" s="64" t="s">
        <v>1</v>
      </c>
      <c r="D20" s="71"/>
      <c r="E20" s="131">
        <f aca="true" t="shared" si="4" ref="E20:F24">+G20+K20</f>
        <v>131.3</v>
      </c>
      <c r="F20" s="131">
        <f t="shared" si="4"/>
        <v>131.20000000000002</v>
      </c>
      <c r="G20" s="131">
        <f>106+25</f>
        <v>131</v>
      </c>
      <c r="H20" s="131">
        <v>130.9</v>
      </c>
      <c r="I20" s="131">
        <f>77+11</f>
        <v>88</v>
      </c>
      <c r="J20" s="131">
        <v>88</v>
      </c>
      <c r="K20" s="131">
        <v>0.3</v>
      </c>
      <c r="L20" s="66">
        <v>0.3</v>
      </c>
      <c r="M20" s="34"/>
      <c r="N20" s="34"/>
      <c r="O20" s="34"/>
    </row>
    <row r="21" spans="1:15" ht="12" customHeight="1">
      <c r="A21" s="55">
        <v>11</v>
      </c>
      <c r="B21" s="9"/>
      <c r="C21" s="12" t="s">
        <v>2</v>
      </c>
      <c r="D21" s="71"/>
      <c r="E21" s="131">
        <f t="shared" si="4"/>
        <v>89.89999999999999</v>
      </c>
      <c r="F21" s="131">
        <f t="shared" si="4"/>
        <v>89.89999999999999</v>
      </c>
      <c r="G21" s="131">
        <f>78.1+5.5</f>
        <v>83.6</v>
      </c>
      <c r="H21" s="131">
        <v>83.6</v>
      </c>
      <c r="I21" s="131">
        <f>49.2+1.2</f>
        <v>50.400000000000006</v>
      </c>
      <c r="J21" s="131">
        <v>50.4</v>
      </c>
      <c r="K21" s="131">
        <v>6.3</v>
      </c>
      <c r="L21" s="66">
        <v>6.3</v>
      </c>
      <c r="M21" s="34"/>
      <c r="N21" s="34"/>
      <c r="O21" s="34"/>
    </row>
    <row r="22" spans="1:15" ht="12" customHeight="1">
      <c r="A22" s="55">
        <v>12</v>
      </c>
      <c r="B22" s="9"/>
      <c r="C22" s="12" t="s">
        <v>15</v>
      </c>
      <c r="D22" s="71"/>
      <c r="E22" s="131">
        <f t="shared" si="4"/>
        <v>68.6</v>
      </c>
      <c r="F22" s="131">
        <f t="shared" si="4"/>
        <v>68.5</v>
      </c>
      <c r="G22" s="131">
        <f>58.6+9</f>
        <v>67.6</v>
      </c>
      <c r="H22" s="131">
        <v>67.6</v>
      </c>
      <c r="I22" s="131">
        <f>26.8+2</f>
        <v>28.8</v>
      </c>
      <c r="J22" s="131">
        <v>28.8</v>
      </c>
      <c r="K22" s="131">
        <v>1</v>
      </c>
      <c r="L22" s="66">
        <v>0.9</v>
      </c>
      <c r="M22" s="34"/>
      <c r="N22" s="34"/>
      <c r="O22" s="34"/>
    </row>
    <row r="23" spans="1:15" ht="12" customHeight="1">
      <c r="A23" s="55">
        <v>13</v>
      </c>
      <c r="B23" s="9"/>
      <c r="C23" s="12" t="s">
        <v>19</v>
      </c>
      <c r="D23" s="71"/>
      <c r="E23" s="131">
        <f t="shared" si="4"/>
        <v>50.8</v>
      </c>
      <c r="F23" s="131">
        <f t="shared" si="4"/>
        <v>50.7</v>
      </c>
      <c r="G23" s="131">
        <f>47.4+3.4</f>
        <v>50.8</v>
      </c>
      <c r="H23" s="131">
        <v>50.7</v>
      </c>
      <c r="I23" s="131">
        <f>21.5+2.7</f>
        <v>24.2</v>
      </c>
      <c r="J23" s="131">
        <v>24.2</v>
      </c>
      <c r="K23" s="131"/>
      <c r="L23" s="66"/>
      <c r="M23" s="34"/>
      <c r="N23" s="34"/>
      <c r="O23" s="34"/>
    </row>
    <row r="24" spans="1:15" ht="12" customHeight="1">
      <c r="A24" s="55">
        <v>14</v>
      </c>
      <c r="B24" s="9"/>
      <c r="C24" s="69" t="s">
        <v>3</v>
      </c>
      <c r="D24" s="71"/>
      <c r="E24" s="131">
        <f t="shared" si="4"/>
        <v>81</v>
      </c>
      <c r="F24" s="131">
        <f t="shared" si="4"/>
        <v>81</v>
      </c>
      <c r="G24" s="131">
        <f>65+23-7</f>
        <v>81</v>
      </c>
      <c r="H24" s="131">
        <v>81</v>
      </c>
      <c r="I24" s="131"/>
      <c r="J24" s="131"/>
      <c r="K24" s="131"/>
      <c r="L24" s="66"/>
      <c r="M24" s="34"/>
      <c r="N24" s="34"/>
      <c r="O24" s="34"/>
    </row>
    <row r="25" spans="1:15" ht="24.75" customHeight="1">
      <c r="A25" s="55">
        <v>15</v>
      </c>
      <c r="B25" s="9" t="s">
        <v>33</v>
      </c>
      <c r="C25" s="20" t="s">
        <v>34</v>
      </c>
      <c r="D25" s="9" t="s">
        <v>23</v>
      </c>
      <c r="E25" s="138">
        <f aca="true" t="shared" si="5" ref="E25:J25">SUM(E26:E37)</f>
        <v>254.2</v>
      </c>
      <c r="F25" s="138">
        <f t="shared" si="5"/>
        <v>250.1</v>
      </c>
      <c r="G25" s="138">
        <f t="shared" si="5"/>
        <v>254.2</v>
      </c>
      <c r="H25" s="138">
        <f t="shared" si="5"/>
        <v>250.1</v>
      </c>
      <c r="I25" s="138">
        <f t="shared" si="5"/>
        <v>189.60000000000005</v>
      </c>
      <c r="J25" s="138">
        <f t="shared" si="5"/>
        <v>187.00000000000003</v>
      </c>
      <c r="K25" s="138"/>
      <c r="L25" s="66"/>
      <c r="M25" s="34"/>
      <c r="N25" s="34"/>
      <c r="O25" s="34"/>
    </row>
    <row r="26" spans="1:15" ht="12" customHeight="1">
      <c r="A26" s="55">
        <v>16</v>
      </c>
      <c r="B26" s="9"/>
      <c r="C26" s="64" t="s">
        <v>586</v>
      </c>
      <c r="D26" s="9"/>
      <c r="E26" s="131">
        <f aca="true" t="shared" si="6" ref="E26:F28">+G26+K26</f>
        <v>51.4</v>
      </c>
      <c r="F26" s="131">
        <f t="shared" si="6"/>
        <v>51.1</v>
      </c>
      <c r="G26" s="131">
        <f>70.8-22.8+1.5+1.9</f>
        <v>51.4</v>
      </c>
      <c r="H26" s="131">
        <v>51.1</v>
      </c>
      <c r="I26" s="131">
        <f>53.1-17.1+1.1+1.3</f>
        <v>38.4</v>
      </c>
      <c r="J26" s="131">
        <v>38.4</v>
      </c>
      <c r="K26" s="138"/>
      <c r="L26" s="66"/>
      <c r="M26" s="34"/>
      <c r="N26" s="34"/>
      <c r="O26" s="34"/>
    </row>
    <row r="27" spans="1:15" ht="12" customHeight="1">
      <c r="A27" s="55">
        <v>17</v>
      </c>
      <c r="B27" s="9"/>
      <c r="C27" s="64" t="s">
        <v>1</v>
      </c>
      <c r="D27" s="9"/>
      <c r="E27" s="131">
        <f t="shared" si="6"/>
        <v>22.8</v>
      </c>
      <c r="F27" s="131">
        <f t="shared" si="6"/>
        <v>22.6</v>
      </c>
      <c r="G27" s="131">
        <v>22.8</v>
      </c>
      <c r="H27" s="131">
        <v>22.6</v>
      </c>
      <c r="I27" s="131">
        <v>17.1</v>
      </c>
      <c r="J27" s="131">
        <v>16.9</v>
      </c>
      <c r="K27" s="138"/>
      <c r="L27" s="66"/>
      <c r="M27" s="34"/>
      <c r="N27" s="34"/>
      <c r="O27" s="34"/>
    </row>
    <row r="28" spans="1:15" ht="12" customHeight="1">
      <c r="A28" s="55">
        <v>18</v>
      </c>
      <c r="B28" s="9"/>
      <c r="C28" s="61" t="s">
        <v>4</v>
      </c>
      <c r="D28" s="9"/>
      <c r="E28" s="131">
        <f t="shared" si="6"/>
        <v>21.099999999999998</v>
      </c>
      <c r="F28" s="131">
        <f t="shared" si="6"/>
        <v>21</v>
      </c>
      <c r="G28" s="131">
        <f>20.2+0.4+0.5</f>
        <v>21.099999999999998</v>
      </c>
      <c r="H28" s="131">
        <v>21</v>
      </c>
      <c r="I28" s="131">
        <f>15.1+0.3+0.5</f>
        <v>15.9</v>
      </c>
      <c r="J28" s="131">
        <v>15.9</v>
      </c>
      <c r="K28" s="131"/>
      <c r="L28" s="66"/>
      <c r="M28" s="34"/>
      <c r="N28" s="34"/>
      <c r="O28" s="34"/>
    </row>
    <row r="29" spans="1:15" ht="12" customHeight="1">
      <c r="A29" s="55">
        <v>19</v>
      </c>
      <c r="B29" s="9"/>
      <c r="C29" s="61" t="s">
        <v>5</v>
      </c>
      <c r="D29" s="9"/>
      <c r="E29" s="131">
        <f aca="true" t="shared" si="7" ref="E29:F37">+G29+K29</f>
        <v>21.099999999999998</v>
      </c>
      <c r="F29" s="131">
        <f t="shared" si="7"/>
        <v>21.1</v>
      </c>
      <c r="G29" s="131">
        <f>20.2+0.4+0.5</f>
        <v>21.099999999999998</v>
      </c>
      <c r="H29" s="131">
        <v>21.1</v>
      </c>
      <c r="I29" s="131">
        <f>15.1+0.3+0.4-0.4</f>
        <v>15.4</v>
      </c>
      <c r="J29" s="131">
        <v>15.4</v>
      </c>
      <c r="K29" s="131"/>
      <c r="L29" s="66"/>
      <c r="M29" s="34"/>
      <c r="N29" s="34"/>
      <c r="O29" s="34"/>
    </row>
    <row r="30" spans="1:15" ht="12" customHeight="1">
      <c r="A30" s="55">
        <v>20</v>
      </c>
      <c r="B30" s="9"/>
      <c r="C30" s="61" t="s">
        <v>7</v>
      </c>
      <c r="D30" s="9"/>
      <c r="E30" s="131">
        <f>+G30+K30</f>
        <v>13.3</v>
      </c>
      <c r="F30" s="131">
        <f>+H30+L30</f>
        <v>11.3</v>
      </c>
      <c r="G30" s="131">
        <f>12.6+0.3+0.4</f>
        <v>13.3</v>
      </c>
      <c r="H30" s="131">
        <v>11.3</v>
      </c>
      <c r="I30" s="131">
        <f>9.5+0.2+0.2</f>
        <v>9.899999999999999</v>
      </c>
      <c r="J30" s="131">
        <v>8.4</v>
      </c>
      <c r="K30" s="131"/>
      <c r="L30" s="66"/>
      <c r="M30" s="34"/>
      <c r="N30" s="34"/>
      <c r="O30" s="34"/>
    </row>
    <row r="31" spans="1:15" ht="12" customHeight="1">
      <c r="A31" s="55">
        <v>21</v>
      </c>
      <c r="B31" s="9"/>
      <c r="C31" s="61" t="s">
        <v>6</v>
      </c>
      <c r="D31" s="9"/>
      <c r="E31" s="131">
        <f t="shared" si="7"/>
        <v>21.099999999999998</v>
      </c>
      <c r="F31" s="131">
        <f t="shared" si="7"/>
        <v>20.9</v>
      </c>
      <c r="G31" s="131">
        <f>20.2+0.4+0.5</f>
        <v>21.099999999999998</v>
      </c>
      <c r="H31" s="131">
        <v>20.9</v>
      </c>
      <c r="I31" s="131">
        <f>15.1+0.3+0.4</f>
        <v>15.8</v>
      </c>
      <c r="J31" s="131">
        <v>15.8</v>
      </c>
      <c r="K31" s="131"/>
      <c r="L31" s="66"/>
      <c r="M31" s="34"/>
      <c r="N31" s="34"/>
      <c r="O31" s="34"/>
    </row>
    <row r="32" spans="1:15" ht="12" customHeight="1">
      <c r="A32" s="55">
        <v>22</v>
      </c>
      <c r="B32" s="9"/>
      <c r="C32" s="61" t="s">
        <v>9</v>
      </c>
      <c r="D32" s="9"/>
      <c r="E32" s="131">
        <f t="shared" si="7"/>
        <v>13.3</v>
      </c>
      <c r="F32" s="131">
        <f t="shared" si="7"/>
        <v>13.2</v>
      </c>
      <c r="G32" s="131">
        <f>12.6+0.3+0.4</f>
        <v>13.3</v>
      </c>
      <c r="H32" s="131">
        <v>13.2</v>
      </c>
      <c r="I32" s="131">
        <f>9.5+0.2+0.3-0.3</f>
        <v>9.7</v>
      </c>
      <c r="J32" s="131">
        <v>9.7</v>
      </c>
      <c r="K32" s="131"/>
      <c r="L32" s="66"/>
      <c r="M32" s="34"/>
      <c r="N32" s="34"/>
      <c r="O32" s="34"/>
    </row>
    <row r="33" spans="1:15" ht="12" customHeight="1">
      <c r="A33" s="55">
        <v>23</v>
      </c>
      <c r="B33" s="9"/>
      <c r="C33" s="64" t="s">
        <v>10</v>
      </c>
      <c r="D33" s="9"/>
      <c r="E33" s="131">
        <f t="shared" si="7"/>
        <v>15.9</v>
      </c>
      <c r="F33" s="131">
        <f t="shared" si="7"/>
        <v>15.9</v>
      </c>
      <c r="G33" s="131">
        <f>15.2+0.3+0.4</f>
        <v>15.9</v>
      </c>
      <c r="H33" s="131">
        <v>15.9</v>
      </c>
      <c r="I33" s="131">
        <f>11.4+0.2+0.2</f>
        <v>11.799999999999999</v>
      </c>
      <c r="J33" s="131">
        <v>11.8</v>
      </c>
      <c r="K33" s="131"/>
      <c r="L33" s="66"/>
      <c r="M33" s="34"/>
      <c r="N33" s="34"/>
      <c r="O33" s="34"/>
    </row>
    <row r="34" spans="1:15" ht="12" customHeight="1">
      <c r="A34" s="55">
        <v>24</v>
      </c>
      <c r="B34" s="9"/>
      <c r="C34" s="61" t="s">
        <v>12</v>
      </c>
      <c r="D34" s="9"/>
      <c r="E34" s="131">
        <f>+G34+K34</f>
        <v>16</v>
      </c>
      <c r="F34" s="131">
        <f>+H34+L34</f>
        <v>16</v>
      </c>
      <c r="G34" s="131">
        <f>15.2+0.4+0.4</f>
        <v>16</v>
      </c>
      <c r="H34" s="131">
        <v>16</v>
      </c>
      <c r="I34" s="131">
        <f>11.4+0.3+0.3</f>
        <v>12.000000000000002</v>
      </c>
      <c r="J34" s="131">
        <v>12</v>
      </c>
      <c r="K34" s="131"/>
      <c r="L34" s="66"/>
      <c r="M34" s="34"/>
      <c r="N34" s="34"/>
      <c r="O34" s="34"/>
    </row>
    <row r="35" spans="1:15" ht="12" customHeight="1">
      <c r="A35" s="55">
        <v>25</v>
      </c>
      <c r="B35" s="9"/>
      <c r="C35" s="61" t="s">
        <v>11</v>
      </c>
      <c r="D35" s="9"/>
      <c r="E35" s="131">
        <f t="shared" si="7"/>
        <v>16</v>
      </c>
      <c r="F35" s="131">
        <f t="shared" si="7"/>
        <v>16</v>
      </c>
      <c r="G35" s="131">
        <f>15.2+0.4+0.4</f>
        <v>16</v>
      </c>
      <c r="H35" s="131">
        <v>16</v>
      </c>
      <c r="I35" s="131">
        <f>11.4+0.3+0.3</f>
        <v>12.000000000000002</v>
      </c>
      <c r="J35" s="131">
        <v>12</v>
      </c>
      <c r="K35" s="131"/>
      <c r="L35" s="66"/>
      <c r="M35" s="34"/>
      <c r="N35" s="34"/>
      <c r="O35" s="34"/>
    </row>
    <row r="36" spans="1:15" ht="12" customHeight="1">
      <c r="A36" s="55">
        <v>26</v>
      </c>
      <c r="B36" s="9"/>
      <c r="C36" s="61" t="s">
        <v>13</v>
      </c>
      <c r="D36" s="9"/>
      <c r="E36" s="131">
        <f t="shared" si="7"/>
        <v>21.099999999999998</v>
      </c>
      <c r="F36" s="131">
        <f t="shared" si="7"/>
        <v>20.5</v>
      </c>
      <c r="G36" s="131">
        <f>20.2+0.4+0.5</f>
        <v>21.099999999999998</v>
      </c>
      <c r="H36" s="131">
        <v>20.5</v>
      </c>
      <c r="I36" s="131">
        <f>15.1+0.3+0.4</f>
        <v>15.8</v>
      </c>
      <c r="J36" s="131">
        <v>15.3</v>
      </c>
      <c r="K36" s="131"/>
      <c r="L36" s="66"/>
      <c r="M36" s="34"/>
      <c r="N36" s="34"/>
      <c r="O36" s="34"/>
    </row>
    <row r="37" spans="1:15" ht="12" customHeight="1">
      <c r="A37" s="55">
        <v>27</v>
      </c>
      <c r="B37" s="9"/>
      <c r="C37" s="61" t="s">
        <v>14</v>
      </c>
      <c r="D37" s="9"/>
      <c r="E37" s="131">
        <f t="shared" si="7"/>
        <v>21.099999999999998</v>
      </c>
      <c r="F37" s="131">
        <f t="shared" si="7"/>
        <v>20.5</v>
      </c>
      <c r="G37" s="131">
        <f>20.2+0.4+0.5</f>
        <v>21.099999999999998</v>
      </c>
      <c r="H37" s="131">
        <v>20.5</v>
      </c>
      <c r="I37" s="131">
        <f>15.1+0.3+0.4</f>
        <v>15.8</v>
      </c>
      <c r="J37" s="131">
        <v>15.4</v>
      </c>
      <c r="K37" s="131"/>
      <c r="L37" s="66"/>
      <c r="M37" s="34"/>
      <c r="N37" s="34"/>
      <c r="O37" s="34"/>
    </row>
    <row r="38" spans="1:15" ht="40.5" customHeight="1">
      <c r="A38" s="55">
        <v>28</v>
      </c>
      <c r="B38" s="9" t="s">
        <v>35</v>
      </c>
      <c r="C38" s="20" t="s">
        <v>214</v>
      </c>
      <c r="D38" s="136" t="s">
        <v>215</v>
      </c>
      <c r="E38" s="138">
        <f aca="true" t="shared" si="8" ref="E38:J38">SUM(E39:E50)</f>
        <v>271.8</v>
      </c>
      <c r="F38" s="138">
        <f t="shared" si="8"/>
        <v>262.5</v>
      </c>
      <c r="G38" s="138">
        <f t="shared" si="8"/>
        <v>271.8</v>
      </c>
      <c r="H38" s="138">
        <f t="shared" si="8"/>
        <v>262.5</v>
      </c>
      <c r="I38" s="138">
        <f t="shared" si="8"/>
        <v>5.8</v>
      </c>
      <c r="J38" s="138">
        <f t="shared" si="8"/>
        <v>5.6</v>
      </c>
      <c r="K38" s="138"/>
      <c r="L38" s="66"/>
      <c r="M38" s="34"/>
      <c r="N38" s="34"/>
      <c r="O38" s="34"/>
    </row>
    <row r="39" spans="1:15" ht="12" customHeight="1">
      <c r="A39" s="55">
        <v>29</v>
      </c>
      <c r="B39" s="9"/>
      <c r="C39" s="69" t="s">
        <v>3</v>
      </c>
      <c r="D39" s="11"/>
      <c r="E39" s="131">
        <f>+G39+K39</f>
        <v>4.9</v>
      </c>
      <c r="F39" s="131">
        <f>+H39+L39</f>
        <v>4.2</v>
      </c>
      <c r="G39" s="131">
        <f>6.4-1.5</f>
        <v>4.9</v>
      </c>
      <c r="H39" s="131">
        <v>4.2</v>
      </c>
      <c r="I39" s="131"/>
      <c r="J39" s="131"/>
      <c r="K39" s="131"/>
      <c r="L39" s="66"/>
      <c r="M39" s="34"/>
      <c r="N39" s="34"/>
      <c r="O39" s="34"/>
    </row>
    <row r="40" spans="1:15" ht="24.75" customHeight="1">
      <c r="A40" s="55">
        <v>30</v>
      </c>
      <c r="B40" s="9"/>
      <c r="C40" s="61" t="s">
        <v>8</v>
      </c>
      <c r="D40" s="9"/>
      <c r="E40" s="131">
        <f>+G40+K40</f>
        <v>143.5</v>
      </c>
      <c r="F40" s="131">
        <f>+H40+L40</f>
        <v>137.8</v>
      </c>
      <c r="G40" s="131">
        <f>143.5</f>
        <v>143.5</v>
      </c>
      <c r="H40" s="131">
        <v>137.8</v>
      </c>
      <c r="I40" s="131">
        <v>3.2</v>
      </c>
      <c r="J40" s="131">
        <v>3.2</v>
      </c>
      <c r="K40" s="131"/>
      <c r="L40" s="66"/>
      <c r="M40" s="34"/>
      <c r="N40" s="34"/>
      <c r="O40" s="34"/>
    </row>
    <row r="41" spans="1:15" ht="12" customHeight="1">
      <c r="A41" s="55">
        <v>31</v>
      </c>
      <c r="B41" s="9"/>
      <c r="C41" s="61" t="s">
        <v>4</v>
      </c>
      <c r="D41" s="9"/>
      <c r="E41" s="131">
        <f aca="true" t="shared" si="9" ref="E41:F52">+G41+K41</f>
        <v>23.1</v>
      </c>
      <c r="F41" s="131">
        <f t="shared" si="9"/>
        <v>22.9</v>
      </c>
      <c r="G41" s="131">
        <v>23.1</v>
      </c>
      <c r="H41" s="131">
        <v>22.9</v>
      </c>
      <c r="I41" s="131">
        <v>0.5</v>
      </c>
      <c r="J41" s="131">
        <v>0.5</v>
      </c>
      <c r="K41" s="131"/>
      <c r="L41" s="66"/>
      <c r="M41" s="34"/>
      <c r="N41" s="34"/>
      <c r="O41" s="34"/>
    </row>
    <row r="42" spans="1:15" ht="12" customHeight="1">
      <c r="A42" s="55">
        <v>32</v>
      </c>
      <c r="B42" s="9"/>
      <c r="C42" s="61" t="s">
        <v>5</v>
      </c>
      <c r="D42" s="9"/>
      <c r="E42" s="131">
        <f t="shared" si="9"/>
        <v>10.200000000000001</v>
      </c>
      <c r="F42" s="131">
        <f t="shared" si="9"/>
        <v>9</v>
      </c>
      <c r="G42" s="131">
        <f>8.4+1.8</f>
        <v>10.200000000000001</v>
      </c>
      <c r="H42" s="131">
        <v>9</v>
      </c>
      <c r="I42" s="131">
        <v>0.2</v>
      </c>
      <c r="J42" s="131">
        <v>0.2</v>
      </c>
      <c r="K42" s="131"/>
      <c r="L42" s="66"/>
      <c r="M42" s="34"/>
      <c r="N42" s="34"/>
      <c r="O42" s="34"/>
    </row>
    <row r="43" spans="1:15" ht="12" customHeight="1">
      <c r="A43" s="55">
        <v>33</v>
      </c>
      <c r="B43" s="9"/>
      <c r="C43" s="61" t="s">
        <v>7</v>
      </c>
      <c r="D43" s="9"/>
      <c r="E43" s="131">
        <f>+G43+K43</f>
        <v>19.3</v>
      </c>
      <c r="F43" s="131">
        <f>+H43+L43</f>
        <v>19.2</v>
      </c>
      <c r="G43" s="131">
        <f>16.3+3</f>
        <v>19.3</v>
      </c>
      <c r="H43" s="131">
        <v>19.2</v>
      </c>
      <c r="I43" s="131">
        <v>0.3</v>
      </c>
      <c r="J43" s="131">
        <v>0.3</v>
      </c>
      <c r="K43" s="131"/>
      <c r="L43" s="66"/>
      <c r="M43" s="34"/>
      <c r="N43" s="34"/>
      <c r="O43" s="34"/>
    </row>
    <row r="44" spans="1:15" ht="12" customHeight="1">
      <c r="A44" s="55">
        <v>34</v>
      </c>
      <c r="B44" s="9"/>
      <c r="C44" s="61" t="s">
        <v>6</v>
      </c>
      <c r="D44" s="9"/>
      <c r="E44" s="131">
        <f t="shared" si="9"/>
        <v>13.8</v>
      </c>
      <c r="F44" s="131">
        <f t="shared" si="9"/>
        <v>13.7</v>
      </c>
      <c r="G44" s="131">
        <v>13.8</v>
      </c>
      <c r="H44" s="131">
        <v>13.7</v>
      </c>
      <c r="I44" s="131">
        <v>0.3</v>
      </c>
      <c r="J44" s="131">
        <v>0.2</v>
      </c>
      <c r="K44" s="131"/>
      <c r="L44" s="66"/>
      <c r="M44" s="34"/>
      <c r="N44" s="34"/>
      <c r="O44" s="34"/>
    </row>
    <row r="45" spans="1:15" ht="12" customHeight="1">
      <c r="A45" s="55">
        <v>35</v>
      </c>
      <c r="B45" s="9"/>
      <c r="C45" s="61" t="s">
        <v>9</v>
      </c>
      <c r="D45" s="9"/>
      <c r="E45" s="131">
        <f t="shared" si="9"/>
        <v>13.8</v>
      </c>
      <c r="F45" s="131">
        <f t="shared" si="9"/>
        <v>13.7</v>
      </c>
      <c r="G45" s="131">
        <f>12.8+1</f>
        <v>13.8</v>
      </c>
      <c r="H45" s="131">
        <v>13.7</v>
      </c>
      <c r="I45" s="131">
        <v>0.3</v>
      </c>
      <c r="J45" s="131">
        <v>0.3</v>
      </c>
      <c r="K45" s="131"/>
      <c r="L45" s="66"/>
      <c r="M45" s="34"/>
      <c r="N45" s="34"/>
      <c r="O45" s="34"/>
    </row>
    <row r="46" spans="1:15" ht="12" customHeight="1">
      <c r="A46" s="55">
        <v>36</v>
      </c>
      <c r="B46" s="9"/>
      <c r="C46" s="64" t="s">
        <v>10</v>
      </c>
      <c r="D46" s="9"/>
      <c r="E46" s="131">
        <f t="shared" si="9"/>
        <v>5.3999999999999995</v>
      </c>
      <c r="F46" s="131">
        <f t="shared" si="9"/>
        <v>5.3</v>
      </c>
      <c r="G46" s="131">
        <f>7.1-1.7</f>
        <v>5.3999999999999995</v>
      </c>
      <c r="H46" s="131">
        <v>5.3</v>
      </c>
      <c r="I46" s="131">
        <f>0.2-0.1</f>
        <v>0.1</v>
      </c>
      <c r="J46" s="131">
        <v>0.1</v>
      </c>
      <c r="K46" s="139"/>
      <c r="L46" s="66"/>
      <c r="M46" s="34"/>
      <c r="N46" s="34"/>
      <c r="O46" s="34"/>
    </row>
    <row r="47" spans="1:15" ht="12" customHeight="1">
      <c r="A47" s="55">
        <v>37</v>
      </c>
      <c r="B47" s="9"/>
      <c r="C47" s="61" t="s">
        <v>12</v>
      </c>
      <c r="D47" s="9"/>
      <c r="E47" s="131">
        <f>+G47+K47</f>
        <v>5.799999999999999</v>
      </c>
      <c r="F47" s="131">
        <f>+H47+L47</f>
        <v>5.8</v>
      </c>
      <c r="G47" s="131">
        <f>8.2-2.4</f>
        <v>5.799999999999999</v>
      </c>
      <c r="H47" s="131">
        <v>5.8</v>
      </c>
      <c r="I47" s="131">
        <v>0.2</v>
      </c>
      <c r="J47" s="131">
        <v>0.2</v>
      </c>
      <c r="K47" s="131"/>
      <c r="L47" s="66"/>
      <c r="M47" s="34"/>
      <c r="N47" s="34"/>
      <c r="O47" s="34"/>
    </row>
    <row r="48" spans="1:15" ht="12" customHeight="1">
      <c r="A48" s="55">
        <v>38</v>
      </c>
      <c r="B48" s="9"/>
      <c r="C48" s="61" t="s">
        <v>11</v>
      </c>
      <c r="D48" s="9"/>
      <c r="E48" s="131">
        <f t="shared" si="9"/>
        <v>12.200000000000001</v>
      </c>
      <c r="F48" s="131">
        <f t="shared" si="9"/>
        <v>12.1</v>
      </c>
      <c r="G48" s="131">
        <f>10.8+1.4</f>
        <v>12.200000000000001</v>
      </c>
      <c r="H48" s="131">
        <v>12.1</v>
      </c>
      <c r="I48" s="131">
        <v>0.2</v>
      </c>
      <c r="J48" s="131">
        <v>0.2</v>
      </c>
      <c r="K48" s="131"/>
      <c r="L48" s="66"/>
      <c r="M48" s="34"/>
      <c r="N48" s="34"/>
      <c r="O48" s="34"/>
    </row>
    <row r="49" spans="1:15" ht="12" customHeight="1">
      <c r="A49" s="55">
        <v>39</v>
      </c>
      <c r="B49" s="9"/>
      <c r="C49" s="61" t="s">
        <v>13</v>
      </c>
      <c r="D49" s="9"/>
      <c r="E49" s="131">
        <f t="shared" si="9"/>
        <v>4.5</v>
      </c>
      <c r="F49" s="131">
        <f t="shared" si="9"/>
        <v>3.7</v>
      </c>
      <c r="G49" s="131">
        <f>6.8-2.3</f>
        <v>4.5</v>
      </c>
      <c r="H49" s="131">
        <v>3.7</v>
      </c>
      <c r="I49" s="131">
        <v>0.2</v>
      </c>
      <c r="J49" s="131">
        <v>0.1</v>
      </c>
      <c r="K49" s="131"/>
      <c r="L49" s="66"/>
      <c r="M49" s="34"/>
      <c r="N49" s="34"/>
      <c r="O49" s="34"/>
    </row>
    <row r="50" spans="1:15" ht="12" customHeight="1">
      <c r="A50" s="55">
        <v>40</v>
      </c>
      <c r="B50" s="9"/>
      <c r="C50" s="61" t="s">
        <v>14</v>
      </c>
      <c r="D50" s="9"/>
      <c r="E50" s="131">
        <f t="shared" si="9"/>
        <v>15.299999999999999</v>
      </c>
      <c r="F50" s="131">
        <f t="shared" si="9"/>
        <v>15.1</v>
      </c>
      <c r="G50" s="131">
        <f>14.6+0.7</f>
        <v>15.299999999999999</v>
      </c>
      <c r="H50" s="131">
        <v>15.1</v>
      </c>
      <c r="I50" s="131">
        <v>0.3</v>
      </c>
      <c r="J50" s="131">
        <v>0.3</v>
      </c>
      <c r="K50" s="131"/>
      <c r="L50" s="66"/>
      <c r="M50" s="34"/>
      <c r="N50" s="34"/>
      <c r="O50" s="34"/>
    </row>
    <row r="51" spans="1:15" ht="29.25" customHeight="1">
      <c r="A51" s="55">
        <v>41</v>
      </c>
      <c r="B51" s="9" t="s">
        <v>36</v>
      </c>
      <c r="C51" s="21" t="s">
        <v>182</v>
      </c>
      <c r="D51" s="9" t="s">
        <v>37</v>
      </c>
      <c r="E51" s="138">
        <f aca="true" t="shared" si="10" ref="E51:J51">+E52</f>
        <v>302.80000000000007</v>
      </c>
      <c r="F51" s="138">
        <f t="shared" si="10"/>
        <v>294.2</v>
      </c>
      <c r="G51" s="138">
        <f t="shared" si="10"/>
        <v>302.80000000000007</v>
      </c>
      <c r="H51" s="138">
        <f t="shared" si="10"/>
        <v>294.2</v>
      </c>
      <c r="I51" s="138">
        <f t="shared" si="10"/>
        <v>6.3</v>
      </c>
      <c r="J51" s="138">
        <f t="shared" si="10"/>
        <v>6.2</v>
      </c>
      <c r="K51" s="138"/>
      <c r="L51" s="66"/>
      <c r="M51" s="34"/>
      <c r="N51" s="34"/>
      <c r="O51" s="34"/>
    </row>
    <row r="52" spans="1:15" ht="12" customHeight="1">
      <c r="A52" s="55">
        <v>42</v>
      </c>
      <c r="B52" s="9"/>
      <c r="C52" s="69" t="s">
        <v>3</v>
      </c>
      <c r="D52" s="9"/>
      <c r="E52" s="131">
        <f t="shared" si="9"/>
        <v>302.80000000000007</v>
      </c>
      <c r="F52" s="131">
        <f t="shared" si="9"/>
        <v>294.2</v>
      </c>
      <c r="G52" s="131">
        <f>+(244.3+66.9+3.5)+8.9-6.9-13.9</f>
        <v>302.80000000000007</v>
      </c>
      <c r="H52" s="131">
        <v>294.2</v>
      </c>
      <c r="I52" s="131">
        <v>6.3</v>
      </c>
      <c r="J52" s="131">
        <v>6.2</v>
      </c>
      <c r="K52" s="131"/>
      <c r="L52" s="66"/>
      <c r="M52" s="34"/>
      <c r="N52" s="34"/>
      <c r="O52" s="34"/>
    </row>
    <row r="53" spans="1:15" ht="24.75" customHeight="1">
      <c r="A53" s="55">
        <v>43</v>
      </c>
      <c r="B53" s="9" t="s">
        <v>199</v>
      </c>
      <c r="C53" s="21" t="s">
        <v>196</v>
      </c>
      <c r="D53" s="9" t="s">
        <v>122</v>
      </c>
      <c r="E53" s="138">
        <f>+E54</f>
        <v>0</v>
      </c>
      <c r="F53" s="138">
        <f>+F54</f>
        <v>0</v>
      </c>
      <c r="G53" s="138">
        <f>+G54</f>
        <v>0</v>
      </c>
      <c r="H53" s="138"/>
      <c r="I53" s="138">
        <f>+I54</f>
        <v>0</v>
      </c>
      <c r="J53" s="138"/>
      <c r="K53" s="138"/>
      <c r="L53" s="66"/>
      <c r="M53" s="34"/>
      <c r="N53" s="34"/>
      <c r="O53" s="34"/>
    </row>
    <row r="54" spans="1:15" ht="12" customHeight="1">
      <c r="A54" s="55">
        <v>44</v>
      </c>
      <c r="B54" s="9"/>
      <c r="C54" s="69" t="s">
        <v>3</v>
      </c>
      <c r="D54" s="9"/>
      <c r="E54" s="131">
        <f>+G54+K54</f>
        <v>0</v>
      </c>
      <c r="F54" s="131">
        <f>+H54+L54</f>
        <v>0</v>
      </c>
      <c r="G54" s="131">
        <f>0.7-0.7</f>
        <v>0</v>
      </c>
      <c r="H54" s="131"/>
      <c r="I54" s="131"/>
      <c r="J54" s="131"/>
      <c r="K54" s="131"/>
      <c r="L54" s="66"/>
      <c r="M54" s="34"/>
      <c r="N54" s="34"/>
      <c r="O54" s="34"/>
    </row>
    <row r="55" spans="1:19" ht="19.5" customHeight="1">
      <c r="A55" s="55">
        <v>45</v>
      </c>
      <c r="B55" s="7" t="s">
        <v>38</v>
      </c>
      <c r="C55" s="10" t="s">
        <v>39</v>
      </c>
      <c r="D55" s="9"/>
      <c r="E55" s="133">
        <f aca="true" t="shared" si="11" ref="E55:K55">+E56+E68</f>
        <v>522.6</v>
      </c>
      <c r="F55" s="133">
        <f t="shared" si="11"/>
        <v>521.3</v>
      </c>
      <c r="G55" s="133">
        <f t="shared" si="11"/>
        <v>522.6</v>
      </c>
      <c r="H55" s="133">
        <f t="shared" si="11"/>
        <v>521.3</v>
      </c>
      <c r="I55" s="133">
        <f t="shared" si="11"/>
        <v>127.69999999999999</v>
      </c>
      <c r="J55" s="133">
        <f t="shared" si="11"/>
        <v>127</v>
      </c>
      <c r="K55" s="133">
        <f t="shared" si="11"/>
        <v>0</v>
      </c>
      <c r="L55" s="66"/>
      <c r="M55" s="34"/>
      <c r="N55" s="1"/>
      <c r="O55" s="34"/>
      <c r="Q55" s="34"/>
      <c r="R55" s="30"/>
      <c r="S55" s="5"/>
    </row>
    <row r="56" spans="1:15" ht="12" customHeight="1">
      <c r="A56" s="55">
        <v>46</v>
      </c>
      <c r="B56" s="9" t="s">
        <v>40</v>
      </c>
      <c r="C56" s="21" t="s">
        <v>41</v>
      </c>
      <c r="D56" s="9" t="s">
        <v>227</v>
      </c>
      <c r="E56" s="138">
        <f aca="true" t="shared" si="12" ref="E56:J56">SUM(E57:E67)</f>
        <v>198.60000000000002</v>
      </c>
      <c r="F56" s="138">
        <f t="shared" si="12"/>
        <v>197.3</v>
      </c>
      <c r="G56" s="138">
        <f t="shared" si="12"/>
        <v>198.60000000000002</v>
      </c>
      <c r="H56" s="138">
        <f t="shared" si="12"/>
        <v>197.3</v>
      </c>
      <c r="I56" s="138">
        <f t="shared" si="12"/>
        <v>127.69999999999999</v>
      </c>
      <c r="J56" s="138">
        <f t="shared" si="12"/>
        <v>127</v>
      </c>
      <c r="K56" s="138"/>
      <c r="L56" s="66"/>
      <c r="M56" s="34"/>
      <c r="N56" s="34"/>
      <c r="O56" s="34"/>
    </row>
    <row r="57" spans="1:15" ht="12" customHeight="1">
      <c r="A57" s="55">
        <v>47</v>
      </c>
      <c r="B57" s="9"/>
      <c r="C57" s="69" t="s">
        <v>3</v>
      </c>
      <c r="D57" s="9"/>
      <c r="E57" s="131">
        <f>+G57+K57</f>
        <v>120.3</v>
      </c>
      <c r="F57" s="131">
        <f>+H57+L57</f>
        <v>120.2</v>
      </c>
      <c r="G57" s="131">
        <v>120.3</v>
      </c>
      <c r="H57" s="131">
        <v>120.2</v>
      </c>
      <c r="I57" s="131">
        <v>74.2</v>
      </c>
      <c r="J57" s="131">
        <v>74.2</v>
      </c>
      <c r="K57" s="131"/>
      <c r="L57" s="66"/>
      <c r="M57" s="34"/>
      <c r="N57" s="34"/>
      <c r="O57" s="34"/>
    </row>
    <row r="58" spans="1:15" ht="12" customHeight="1">
      <c r="A58" s="55">
        <v>48</v>
      </c>
      <c r="B58" s="9"/>
      <c r="C58" s="61" t="s">
        <v>4</v>
      </c>
      <c r="D58" s="9"/>
      <c r="E58" s="131">
        <f aca="true" t="shared" si="13" ref="E58:F67">+G58+K58</f>
        <v>9</v>
      </c>
      <c r="F58" s="131">
        <f t="shared" si="13"/>
        <v>8.9</v>
      </c>
      <c r="G58" s="131">
        <f>8.8+0.2</f>
        <v>9</v>
      </c>
      <c r="H58" s="131">
        <v>8.9</v>
      </c>
      <c r="I58" s="131">
        <f>5.5+0.2+0.1</f>
        <v>5.8</v>
      </c>
      <c r="J58" s="131">
        <v>5.8</v>
      </c>
      <c r="K58" s="131"/>
      <c r="L58" s="66"/>
      <c r="M58" s="34"/>
      <c r="N58" s="34"/>
      <c r="O58" s="34"/>
    </row>
    <row r="59" spans="1:15" ht="12" customHeight="1">
      <c r="A59" s="55">
        <v>49</v>
      </c>
      <c r="B59" s="9"/>
      <c r="C59" s="61" t="s">
        <v>5</v>
      </c>
      <c r="D59" s="9"/>
      <c r="E59" s="131">
        <f t="shared" si="13"/>
        <v>6.4</v>
      </c>
      <c r="F59" s="131">
        <f t="shared" si="13"/>
        <v>6.4</v>
      </c>
      <c r="G59" s="131">
        <f>6.2+0.2</f>
        <v>6.4</v>
      </c>
      <c r="H59" s="131">
        <v>6.4</v>
      </c>
      <c r="I59" s="131">
        <f>3.9+0.2</f>
        <v>4.1</v>
      </c>
      <c r="J59" s="131">
        <v>4.1</v>
      </c>
      <c r="K59" s="131"/>
      <c r="L59" s="66"/>
      <c r="M59" s="34"/>
      <c r="N59" s="34"/>
      <c r="O59" s="34"/>
    </row>
    <row r="60" spans="1:15" ht="12" customHeight="1">
      <c r="A60" s="55">
        <v>50</v>
      </c>
      <c r="B60" s="9"/>
      <c r="C60" s="61" t="s">
        <v>7</v>
      </c>
      <c r="D60" s="9"/>
      <c r="E60" s="131">
        <f>+G60+K60</f>
        <v>8.5</v>
      </c>
      <c r="F60" s="131">
        <f>+H60+L60</f>
        <v>8.4</v>
      </c>
      <c r="G60" s="131">
        <f>8.2+0.3</f>
        <v>8.5</v>
      </c>
      <c r="H60" s="131">
        <v>8.4</v>
      </c>
      <c r="I60" s="131">
        <f>5.5+0.3</f>
        <v>5.8</v>
      </c>
      <c r="J60" s="131">
        <v>5.8</v>
      </c>
      <c r="K60" s="131"/>
      <c r="L60" s="66"/>
      <c r="M60" s="34"/>
      <c r="N60" s="34"/>
      <c r="O60" s="34"/>
    </row>
    <row r="61" spans="1:15" ht="12" customHeight="1">
      <c r="A61" s="55">
        <v>51</v>
      </c>
      <c r="B61" s="9"/>
      <c r="C61" s="61" t="s">
        <v>6</v>
      </c>
      <c r="D61" s="9"/>
      <c r="E61" s="131">
        <f t="shared" si="13"/>
        <v>10.5</v>
      </c>
      <c r="F61" s="131">
        <f t="shared" si="13"/>
        <v>10.5</v>
      </c>
      <c r="G61" s="131">
        <f>10.2+0.3</f>
        <v>10.5</v>
      </c>
      <c r="H61" s="131">
        <v>10.5</v>
      </c>
      <c r="I61" s="131">
        <f>6.9+0.3</f>
        <v>7.2</v>
      </c>
      <c r="J61" s="131">
        <v>7.2</v>
      </c>
      <c r="K61" s="131"/>
      <c r="L61" s="66"/>
      <c r="M61" s="34"/>
      <c r="N61" s="34"/>
      <c r="O61" s="34"/>
    </row>
    <row r="62" spans="1:15" ht="12" customHeight="1">
      <c r="A62" s="55">
        <v>52</v>
      </c>
      <c r="B62" s="9"/>
      <c r="C62" s="61" t="s">
        <v>9</v>
      </c>
      <c r="D62" s="9"/>
      <c r="E62" s="131">
        <f t="shared" si="13"/>
        <v>7.8</v>
      </c>
      <c r="F62" s="131">
        <f t="shared" si="13"/>
        <v>7.7</v>
      </c>
      <c r="G62" s="131">
        <f>7.6+0.2</f>
        <v>7.8</v>
      </c>
      <c r="H62" s="131">
        <v>7.7</v>
      </c>
      <c r="I62" s="131">
        <f>5.5+0.2-0.1</f>
        <v>5.6000000000000005</v>
      </c>
      <c r="J62" s="131">
        <v>5.5</v>
      </c>
      <c r="K62" s="131"/>
      <c r="L62" s="66"/>
      <c r="M62" s="34"/>
      <c r="N62" s="34"/>
      <c r="O62" s="34"/>
    </row>
    <row r="63" spans="1:15" ht="12" customHeight="1">
      <c r="A63" s="55">
        <v>53</v>
      </c>
      <c r="B63" s="9"/>
      <c r="C63" s="64" t="s">
        <v>10</v>
      </c>
      <c r="D63" s="9"/>
      <c r="E63" s="131">
        <f t="shared" si="13"/>
        <v>6.5</v>
      </c>
      <c r="F63" s="131">
        <f t="shared" si="13"/>
        <v>6.5</v>
      </c>
      <c r="G63" s="131">
        <f>6.3+0.2</f>
        <v>6.5</v>
      </c>
      <c r="H63" s="131">
        <v>6.5</v>
      </c>
      <c r="I63" s="131">
        <f>4.5+0.2</f>
        <v>4.7</v>
      </c>
      <c r="J63" s="131">
        <v>4.7</v>
      </c>
      <c r="K63" s="131"/>
      <c r="L63" s="66"/>
      <c r="M63" s="34"/>
      <c r="N63" s="34"/>
      <c r="O63" s="34"/>
    </row>
    <row r="64" spans="1:15" ht="12" customHeight="1">
      <c r="A64" s="55">
        <v>54</v>
      </c>
      <c r="B64" s="9"/>
      <c r="C64" s="61" t="s">
        <v>12</v>
      </c>
      <c r="D64" s="9"/>
      <c r="E64" s="131">
        <f>+G64+K64</f>
        <v>6.1000000000000005</v>
      </c>
      <c r="F64" s="131">
        <f>+H64+L64</f>
        <v>6.1</v>
      </c>
      <c r="G64" s="131">
        <f>5.9+0.2</f>
        <v>6.1000000000000005</v>
      </c>
      <c r="H64" s="131">
        <v>6.1</v>
      </c>
      <c r="I64" s="131">
        <f>3.9+0.2</f>
        <v>4.1</v>
      </c>
      <c r="J64" s="131">
        <v>4.1</v>
      </c>
      <c r="K64" s="131"/>
      <c r="L64" s="66"/>
      <c r="M64" s="34"/>
      <c r="N64" s="34"/>
      <c r="O64" s="34"/>
    </row>
    <row r="65" spans="1:15" ht="12" customHeight="1">
      <c r="A65" s="55">
        <v>55</v>
      </c>
      <c r="B65" s="9"/>
      <c r="C65" s="61" t="s">
        <v>11</v>
      </c>
      <c r="D65" s="9"/>
      <c r="E65" s="131">
        <f t="shared" si="13"/>
        <v>8.5</v>
      </c>
      <c r="F65" s="131">
        <f t="shared" si="13"/>
        <v>8</v>
      </c>
      <c r="G65" s="131">
        <f>8.3+0.2</f>
        <v>8.5</v>
      </c>
      <c r="H65" s="131">
        <v>8</v>
      </c>
      <c r="I65" s="131">
        <f>5.5+0.2</f>
        <v>5.7</v>
      </c>
      <c r="J65" s="131">
        <v>5.4</v>
      </c>
      <c r="K65" s="131"/>
      <c r="L65" s="66"/>
      <c r="M65" s="34"/>
      <c r="N65" s="34"/>
      <c r="O65" s="34"/>
    </row>
    <row r="66" spans="1:15" ht="12" customHeight="1">
      <c r="A66" s="55">
        <v>56</v>
      </c>
      <c r="B66" s="9"/>
      <c r="C66" s="61" t="s">
        <v>13</v>
      </c>
      <c r="D66" s="9"/>
      <c r="E66" s="131">
        <f t="shared" si="13"/>
        <v>6.7</v>
      </c>
      <c r="F66" s="131">
        <f t="shared" si="13"/>
        <v>6.3</v>
      </c>
      <c r="G66" s="131">
        <f>6.5+0.2</f>
        <v>6.7</v>
      </c>
      <c r="H66" s="131">
        <v>6.3</v>
      </c>
      <c r="I66" s="131">
        <f>4.5+0.2</f>
        <v>4.7</v>
      </c>
      <c r="J66" s="131">
        <v>4.4</v>
      </c>
      <c r="K66" s="131"/>
      <c r="L66" s="66"/>
      <c r="M66" s="34"/>
      <c r="N66" s="34"/>
      <c r="O66" s="34"/>
    </row>
    <row r="67" spans="1:15" ht="12" customHeight="1">
      <c r="A67" s="55">
        <v>57</v>
      </c>
      <c r="B67" s="9"/>
      <c r="C67" s="61" t="s">
        <v>14</v>
      </c>
      <c r="D67" s="9"/>
      <c r="E67" s="131">
        <f t="shared" si="13"/>
        <v>8.3</v>
      </c>
      <c r="F67" s="131">
        <f t="shared" si="13"/>
        <v>8.3</v>
      </c>
      <c r="G67" s="131">
        <f>8+0.3</f>
        <v>8.3</v>
      </c>
      <c r="H67" s="131">
        <v>8.3</v>
      </c>
      <c r="I67" s="131">
        <f>5.5+0.3</f>
        <v>5.8</v>
      </c>
      <c r="J67" s="131">
        <v>5.8</v>
      </c>
      <c r="K67" s="131"/>
      <c r="L67" s="66"/>
      <c r="M67" s="34"/>
      <c r="N67" s="34"/>
      <c r="O67" s="34"/>
    </row>
    <row r="68" spans="1:15" ht="72" customHeight="1">
      <c r="A68" s="55">
        <v>58</v>
      </c>
      <c r="B68" s="9" t="s">
        <v>42</v>
      </c>
      <c r="C68" s="20" t="s">
        <v>283</v>
      </c>
      <c r="D68" s="9"/>
      <c r="E68" s="138">
        <f>+E69</f>
        <v>324</v>
      </c>
      <c r="F68" s="138">
        <f>+F69</f>
        <v>324</v>
      </c>
      <c r="G68" s="138">
        <f>+G69</f>
        <v>324</v>
      </c>
      <c r="H68" s="138">
        <f>+H69</f>
        <v>324</v>
      </c>
      <c r="I68" s="138">
        <f>+I69</f>
        <v>0</v>
      </c>
      <c r="J68" s="138"/>
      <c r="K68" s="138">
        <f>+K69</f>
        <v>0</v>
      </c>
      <c r="L68" s="66"/>
      <c r="M68" s="34"/>
      <c r="N68" s="34"/>
      <c r="O68" s="34"/>
    </row>
    <row r="69" spans="1:15" ht="12" customHeight="1">
      <c r="A69" s="55">
        <v>59</v>
      </c>
      <c r="B69" s="9"/>
      <c r="C69" s="69" t="s">
        <v>3</v>
      </c>
      <c r="D69" s="9" t="s">
        <v>43</v>
      </c>
      <c r="E69" s="131">
        <f>+G69+K69</f>
        <v>324</v>
      </c>
      <c r="F69" s="131">
        <f>+H69+L69</f>
        <v>324</v>
      </c>
      <c r="G69" s="131">
        <f>SUM(G70:G76)</f>
        <v>324</v>
      </c>
      <c r="H69" s="131">
        <f>SUM(H70:H76)</f>
        <v>324</v>
      </c>
      <c r="I69" s="131">
        <f>SUM(I70:I76)</f>
        <v>0</v>
      </c>
      <c r="J69" s="131"/>
      <c r="K69" s="131">
        <f>SUM(K70:K76)</f>
        <v>0</v>
      </c>
      <c r="L69" s="66"/>
      <c r="M69" s="34"/>
      <c r="N69" s="34"/>
      <c r="O69" s="34"/>
    </row>
    <row r="70" spans="1:15" ht="26.25" customHeight="1">
      <c r="A70" s="55" t="s">
        <v>626</v>
      </c>
      <c r="B70" s="9"/>
      <c r="C70" s="61" t="s">
        <v>279</v>
      </c>
      <c r="D70" s="9"/>
      <c r="E70" s="131">
        <f>+G70</f>
        <v>16</v>
      </c>
      <c r="F70" s="131">
        <f>+H70</f>
        <v>16</v>
      </c>
      <c r="G70" s="131">
        <v>16</v>
      </c>
      <c r="H70" s="131">
        <v>16</v>
      </c>
      <c r="I70" s="131"/>
      <c r="J70" s="131"/>
      <c r="K70" s="131"/>
      <c r="L70" s="66"/>
      <c r="M70" s="34"/>
      <c r="N70" s="34"/>
      <c r="O70" s="192"/>
    </row>
    <row r="71" spans="1:15" ht="17.25" customHeight="1">
      <c r="A71" s="55" t="s">
        <v>627</v>
      </c>
      <c r="B71" s="9"/>
      <c r="C71" s="61" t="s">
        <v>228</v>
      </c>
      <c r="D71" s="9"/>
      <c r="E71" s="131">
        <f aca="true" t="shared" si="14" ref="E71:F76">+G71</f>
        <v>16</v>
      </c>
      <c r="F71" s="131">
        <f t="shared" si="14"/>
        <v>16</v>
      </c>
      <c r="G71" s="131">
        <v>16</v>
      </c>
      <c r="H71" s="131">
        <v>16</v>
      </c>
      <c r="I71" s="131"/>
      <c r="J71" s="131"/>
      <c r="K71" s="131"/>
      <c r="L71" s="66"/>
      <c r="M71" s="34"/>
      <c r="N71" s="34"/>
      <c r="O71" s="192"/>
    </row>
    <row r="72" spans="1:15" ht="16.5" customHeight="1">
      <c r="A72" s="55" t="s">
        <v>628</v>
      </c>
      <c r="B72" s="9"/>
      <c r="C72" s="61" t="s">
        <v>280</v>
      </c>
      <c r="D72" s="9"/>
      <c r="E72" s="131">
        <f t="shared" si="14"/>
        <v>242.89999999999998</v>
      </c>
      <c r="F72" s="131">
        <f t="shared" si="14"/>
        <v>242.89999999999998</v>
      </c>
      <c r="G72" s="131">
        <f>244.2-1.3</f>
        <v>242.89999999999998</v>
      </c>
      <c r="H72" s="131">
        <f>244.2-1.3</f>
        <v>242.89999999999998</v>
      </c>
      <c r="I72" s="131"/>
      <c r="J72" s="131"/>
      <c r="K72" s="131"/>
      <c r="L72" s="66"/>
      <c r="M72" s="34"/>
      <c r="N72" s="34"/>
      <c r="O72" s="192"/>
    </row>
    <row r="73" spans="1:15" ht="27.75" customHeight="1">
      <c r="A73" s="55" t="s">
        <v>629</v>
      </c>
      <c r="B73" s="9"/>
      <c r="C73" s="61" t="s">
        <v>203</v>
      </c>
      <c r="D73" s="9"/>
      <c r="E73" s="131">
        <f t="shared" si="14"/>
        <v>22.5</v>
      </c>
      <c r="F73" s="131">
        <f t="shared" si="14"/>
        <v>22.5</v>
      </c>
      <c r="G73" s="131">
        <f>21+1.5</f>
        <v>22.5</v>
      </c>
      <c r="H73" s="131">
        <f>21+1.5</f>
        <v>22.5</v>
      </c>
      <c r="I73" s="131"/>
      <c r="J73" s="131"/>
      <c r="K73" s="131"/>
      <c r="L73" s="66"/>
      <c r="M73" s="34"/>
      <c r="N73" s="34"/>
      <c r="O73" s="192"/>
    </row>
    <row r="74" spans="1:18" ht="28.5" customHeight="1">
      <c r="A74" s="55" t="s">
        <v>630</v>
      </c>
      <c r="B74" s="9"/>
      <c r="C74" s="61" t="s">
        <v>229</v>
      </c>
      <c r="D74" s="9"/>
      <c r="E74" s="131">
        <f t="shared" si="14"/>
        <v>4.3</v>
      </c>
      <c r="F74" s="131">
        <f t="shared" si="14"/>
        <v>4.3</v>
      </c>
      <c r="G74" s="131">
        <v>4.3</v>
      </c>
      <c r="H74" s="131">
        <v>4.3</v>
      </c>
      <c r="I74" s="131"/>
      <c r="J74" s="131"/>
      <c r="K74" s="131"/>
      <c r="L74" s="66"/>
      <c r="M74" s="34"/>
      <c r="N74" s="34"/>
      <c r="O74" s="192"/>
      <c r="R74" s="5"/>
    </row>
    <row r="75" spans="1:18" ht="27" customHeight="1">
      <c r="A75" s="55" t="s">
        <v>631</v>
      </c>
      <c r="B75" s="9"/>
      <c r="C75" s="61" t="s">
        <v>281</v>
      </c>
      <c r="D75" s="9"/>
      <c r="E75" s="131">
        <f t="shared" si="14"/>
        <v>12.5</v>
      </c>
      <c r="F75" s="131">
        <f t="shared" si="14"/>
        <v>12.5</v>
      </c>
      <c r="G75" s="131">
        <f>13.5-1</f>
        <v>12.5</v>
      </c>
      <c r="H75" s="131">
        <f>13.5-1</f>
        <v>12.5</v>
      </c>
      <c r="I75" s="131"/>
      <c r="J75" s="131"/>
      <c r="K75" s="131"/>
      <c r="L75" s="66"/>
      <c r="M75" s="34"/>
      <c r="N75" s="34"/>
      <c r="O75" s="192"/>
      <c r="R75" s="5"/>
    </row>
    <row r="76" spans="1:15" ht="16.5" customHeight="1">
      <c r="A76" s="55" t="s">
        <v>632</v>
      </c>
      <c r="B76" s="9"/>
      <c r="C76" s="61" t="s">
        <v>282</v>
      </c>
      <c r="D76" s="9"/>
      <c r="E76" s="131">
        <f t="shared" si="14"/>
        <v>9.8</v>
      </c>
      <c r="F76" s="131">
        <f t="shared" si="14"/>
        <v>9.8</v>
      </c>
      <c r="G76" s="131">
        <f>9+0.8</f>
        <v>9.8</v>
      </c>
      <c r="H76" s="131">
        <f>9+0.8</f>
        <v>9.8</v>
      </c>
      <c r="I76" s="131"/>
      <c r="J76" s="131"/>
      <c r="K76" s="131"/>
      <c r="L76" s="66"/>
      <c r="M76" s="34"/>
      <c r="N76" s="34"/>
      <c r="O76" s="192"/>
    </row>
    <row r="77" spans="1:15" ht="19.5" customHeight="1">
      <c r="A77" s="55">
        <v>60</v>
      </c>
      <c r="B77" s="7" t="s">
        <v>25</v>
      </c>
      <c r="C77" s="10" t="s">
        <v>26</v>
      </c>
      <c r="D77" s="9"/>
      <c r="E77" s="133">
        <f aca="true" t="shared" si="15" ref="E77:K77">SUM(E78+E80+E82+E84+E86+E88+E90+E92++E94+E96+E98+E100+E103+E115)</f>
        <v>995.1999999999999</v>
      </c>
      <c r="F77" s="133">
        <f t="shared" si="15"/>
        <v>990.6999999999999</v>
      </c>
      <c r="G77" s="133">
        <f t="shared" si="15"/>
        <v>995.1999999999999</v>
      </c>
      <c r="H77" s="133">
        <f t="shared" si="15"/>
        <v>990.6999999999999</v>
      </c>
      <c r="I77" s="133">
        <f t="shared" si="15"/>
        <v>679.2</v>
      </c>
      <c r="J77" s="133">
        <f t="shared" si="15"/>
        <v>676.2</v>
      </c>
      <c r="K77" s="133">
        <f t="shared" si="15"/>
        <v>0</v>
      </c>
      <c r="L77" s="66"/>
      <c r="M77" s="34"/>
      <c r="N77" s="34"/>
      <c r="O77" s="34"/>
    </row>
    <row r="78" spans="1:15" ht="12" customHeight="1">
      <c r="A78" s="55">
        <v>61</v>
      </c>
      <c r="B78" s="9" t="s">
        <v>44</v>
      </c>
      <c r="C78" s="21" t="s">
        <v>45</v>
      </c>
      <c r="D78" s="9" t="s">
        <v>28</v>
      </c>
      <c r="E78" s="138">
        <f>+E79</f>
        <v>673.5</v>
      </c>
      <c r="F78" s="138">
        <f>+F79</f>
        <v>673.5</v>
      </c>
      <c r="G78" s="138">
        <f>+G79</f>
        <v>673.5</v>
      </c>
      <c r="H78" s="131">
        <v>673.5</v>
      </c>
      <c r="I78" s="138">
        <f>+I79</f>
        <v>468</v>
      </c>
      <c r="J78" s="138">
        <f>+J79</f>
        <v>468</v>
      </c>
      <c r="K78" s="138"/>
      <c r="L78" s="66"/>
      <c r="M78" s="34"/>
      <c r="N78" s="34"/>
      <c r="O78" s="34"/>
    </row>
    <row r="79" spans="1:15" ht="14.25" customHeight="1">
      <c r="A79" s="55">
        <v>62</v>
      </c>
      <c r="B79" s="109"/>
      <c r="C79" s="61" t="s">
        <v>27</v>
      </c>
      <c r="D79" s="71"/>
      <c r="E79" s="131">
        <f>+G79+K79</f>
        <v>673.5</v>
      </c>
      <c r="F79" s="131">
        <f>+H79+L79</f>
        <v>673.5</v>
      </c>
      <c r="G79" s="131">
        <f>657.6+15.9</f>
        <v>673.5</v>
      </c>
      <c r="H79" s="131">
        <v>673.5</v>
      </c>
      <c r="I79" s="131">
        <f>451+12.6+4.4</f>
        <v>468</v>
      </c>
      <c r="J79" s="131">
        <v>468</v>
      </c>
      <c r="K79" s="131"/>
      <c r="L79" s="66"/>
      <c r="M79" s="34"/>
      <c r="N79" s="34"/>
      <c r="O79" s="34"/>
    </row>
    <row r="80" spans="1:15" ht="24.75" customHeight="1">
      <c r="A80" s="55">
        <v>63</v>
      </c>
      <c r="B80" s="9" t="s">
        <v>46</v>
      </c>
      <c r="C80" s="20" t="s">
        <v>47</v>
      </c>
      <c r="D80" s="9" t="s">
        <v>48</v>
      </c>
      <c r="E80" s="138">
        <f aca="true" t="shared" si="16" ref="E80:J80">SUM(E81:E81)</f>
        <v>0.9</v>
      </c>
      <c r="F80" s="138">
        <f t="shared" si="16"/>
        <v>0.9</v>
      </c>
      <c r="G80" s="138">
        <f t="shared" si="16"/>
        <v>0.9</v>
      </c>
      <c r="H80" s="138">
        <f t="shared" si="16"/>
        <v>0.9</v>
      </c>
      <c r="I80" s="138">
        <f t="shared" si="16"/>
        <v>0.7</v>
      </c>
      <c r="J80" s="138">
        <f t="shared" si="16"/>
        <v>0.7</v>
      </c>
      <c r="K80" s="138"/>
      <c r="L80" s="66"/>
      <c r="M80" s="34"/>
      <c r="N80" s="34"/>
      <c r="O80" s="34"/>
    </row>
    <row r="81" spans="1:15" ht="12" customHeight="1">
      <c r="A81" s="55">
        <v>64</v>
      </c>
      <c r="B81" s="9"/>
      <c r="C81" s="69" t="s">
        <v>3</v>
      </c>
      <c r="D81" s="9"/>
      <c r="E81" s="131">
        <f>+G81+K81</f>
        <v>0.9</v>
      </c>
      <c r="F81" s="131">
        <f>+H81+L81</f>
        <v>0.9</v>
      </c>
      <c r="G81" s="131">
        <v>0.9</v>
      </c>
      <c r="H81" s="131">
        <v>0.9</v>
      </c>
      <c r="I81" s="131">
        <v>0.7</v>
      </c>
      <c r="J81" s="131">
        <v>0.7</v>
      </c>
      <c r="K81" s="131"/>
      <c r="L81" s="66"/>
      <c r="M81" s="34"/>
      <c r="N81" s="34"/>
      <c r="O81" s="34"/>
    </row>
    <row r="82" spans="1:15" ht="12" customHeight="1">
      <c r="A82" s="55">
        <v>65</v>
      </c>
      <c r="B82" s="11" t="s">
        <v>49</v>
      </c>
      <c r="C82" s="20" t="s">
        <v>50</v>
      </c>
      <c r="D82" s="9" t="s">
        <v>48</v>
      </c>
      <c r="E82" s="127">
        <f aca="true" t="shared" si="17" ref="E82:J82">+E83</f>
        <v>41.4</v>
      </c>
      <c r="F82" s="127">
        <f t="shared" si="17"/>
        <v>41.4</v>
      </c>
      <c r="G82" s="127">
        <f t="shared" si="17"/>
        <v>41.4</v>
      </c>
      <c r="H82" s="127">
        <f t="shared" si="17"/>
        <v>41.4</v>
      </c>
      <c r="I82" s="127">
        <f t="shared" si="17"/>
        <v>27.599999999999998</v>
      </c>
      <c r="J82" s="127">
        <f t="shared" si="17"/>
        <v>27.6</v>
      </c>
      <c r="K82" s="127"/>
      <c r="L82" s="66"/>
      <c r="M82" s="34"/>
      <c r="N82" s="34"/>
      <c r="O82" s="34"/>
    </row>
    <row r="83" spans="1:15" ht="12" customHeight="1">
      <c r="A83" s="55">
        <v>66</v>
      </c>
      <c r="B83" s="9"/>
      <c r="C83" s="69" t="s">
        <v>3</v>
      </c>
      <c r="D83" s="9"/>
      <c r="E83" s="131">
        <f>+G83+K83</f>
        <v>41.4</v>
      </c>
      <c r="F83" s="131">
        <f>+H83+L83</f>
        <v>41.4</v>
      </c>
      <c r="G83" s="131">
        <f>40.9+0.5</f>
        <v>41.4</v>
      </c>
      <c r="H83" s="131">
        <v>41.4</v>
      </c>
      <c r="I83" s="131">
        <f>27.2+0.4</f>
        <v>27.599999999999998</v>
      </c>
      <c r="J83" s="131">
        <v>27.6</v>
      </c>
      <c r="K83" s="131"/>
      <c r="L83" s="66"/>
      <c r="M83" s="34"/>
      <c r="N83" s="34"/>
      <c r="O83" s="34"/>
    </row>
    <row r="84" spans="1:15" ht="12" customHeight="1">
      <c r="A84" s="55">
        <v>67</v>
      </c>
      <c r="B84" s="9" t="s">
        <v>51</v>
      </c>
      <c r="C84" s="20" t="s">
        <v>52</v>
      </c>
      <c r="D84" s="9" t="s">
        <v>63</v>
      </c>
      <c r="E84" s="138">
        <f aca="true" t="shared" si="18" ref="E84:J84">+E85</f>
        <v>35.3</v>
      </c>
      <c r="F84" s="138">
        <f t="shared" si="18"/>
        <v>35.3</v>
      </c>
      <c r="G84" s="138">
        <f t="shared" si="18"/>
        <v>35.3</v>
      </c>
      <c r="H84" s="138">
        <f t="shared" si="18"/>
        <v>35.3</v>
      </c>
      <c r="I84" s="138">
        <f t="shared" si="18"/>
        <v>21.1</v>
      </c>
      <c r="J84" s="138">
        <f t="shared" si="18"/>
        <v>21.1</v>
      </c>
      <c r="K84" s="138"/>
      <c r="L84" s="66"/>
      <c r="M84" s="34"/>
      <c r="N84" s="34"/>
      <c r="O84" s="34"/>
    </row>
    <row r="85" spans="1:15" ht="12" customHeight="1">
      <c r="A85" s="55">
        <v>68</v>
      </c>
      <c r="B85" s="9"/>
      <c r="C85" s="69" t="s">
        <v>3</v>
      </c>
      <c r="D85" s="9"/>
      <c r="E85" s="131">
        <f>+G85+K85</f>
        <v>35.3</v>
      </c>
      <c r="F85" s="131">
        <f>+H85+L85</f>
        <v>35.3</v>
      </c>
      <c r="G85" s="131">
        <v>35.3</v>
      </c>
      <c r="H85" s="131">
        <v>35.3</v>
      </c>
      <c r="I85" s="131">
        <v>21.1</v>
      </c>
      <c r="J85" s="131">
        <v>21.1</v>
      </c>
      <c r="K85" s="131"/>
      <c r="L85" s="66"/>
      <c r="M85" s="34"/>
      <c r="N85" s="34"/>
      <c r="O85" s="34"/>
    </row>
    <row r="86" spans="1:15" ht="12" customHeight="1">
      <c r="A86" s="55">
        <v>69</v>
      </c>
      <c r="B86" s="9" t="s">
        <v>53</v>
      </c>
      <c r="C86" s="20" t="s">
        <v>54</v>
      </c>
      <c r="D86" s="11" t="s">
        <v>55</v>
      </c>
      <c r="E86" s="127">
        <f aca="true" t="shared" si="19" ref="E86:J86">+E87</f>
        <v>38</v>
      </c>
      <c r="F86" s="127">
        <f t="shared" si="19"/>
        <v>38</v>
      </c>
      <c r="G86" s="127">
        <f t="shared" si="19"/>
        <v>38</v>
      </c>
      <c r="H86" s="127">
        <f t="shared" si="19"/>
        <v>38</v>
      </c>
      <c r="I86" s="127">
        <f t="shared" si="19"/>
        <v>18.2</v>
      </c>
      <c r="J86" s="127">
        <f t="shared" si="19"/>
        <v>18.2</v>
      </c>
      <c r="K86" s="127"/>
      <c r="L86" s="66"/>
      <c r="M86" s="34"/>
      <c r="N86" s="34"/>
      <c r="O86" s="34"/>
    </row>
    <row r="87" spans="1:15" ht="12" customHeight="1">
      <c r="A87" s="55">
        <v>70</v>
      </c>
      <c r="B87" s="9"/>
      <c r="C87" s="69" t="s">
        <v>3</v>
      </c>
      <c r="D87" s="9"/>
      <c r="E87" s="137">
        <f>+G87+K87</f>
        <v>38</v>
      </c>
      <c r="F87" s="137">
        <f>+H87+L87</f>
        <v>38</v>
      </c>
      <c r="G87" s="137">
        <v>38</v>
      </c>
      <c r="H87" s="137">
        <v>38</v>
      </c>
      <c r="I87" s="137">
        <v>18.2</v>
      </c>
      <c r="J87" s="137">
        <v>18.2</v>
      </c>
      <c r="K87" s="131"/>
      <c r="L87" s="66"/>
      <c r="M87" s="34"/>
      <c r="N87" s="34"/>
      <c r="O87" s="34"/>
    </row>
    <row r="88" spans="1:15" ht="12" customHeight="1">
      <c r="A88" s="55">
        <v>71</v>
      </c>
      <c r="B88" s="9" t="s">
        <v>56</v>
      </c>
      <c r="C88" s="21" t="s">
        <v>57</v>
      </c>
      <c r="D88" s="9" t="s">
        <v>63</v>
      </c>
      <c r="E88" s="138">
        <f aca="true" t="shared" si="20" ref="E88:J88">+E89</f>
        <v>8.8</v>
      </c>
      <c r="F88" s="138">
        <f t="shared" si="20"/>
        <v>8.8</v>
      </c>
      <c r="G88" s="138">
        <f t="shared" si="20"/>
        <v>8.8</v>
      </c>
      <c r="H88" s="138">
        <f t="shared" si="20"/>
        <v>8.8</v>
      </c>
      <c r="I88" s="138">
        <f t="shared" si="20"/>
        <v>6.7</v>
      </c>
      <c r="J88" s="138">
        <f t="shared" si="20"/>
        <v>6.7</v>
      </c>
      <c r="K88" s="138"/>
      <c r="L88" s="66"/>
      <c r="M88" s="34"/>
      <c r="N88" s="34"/>
      <c r="O88" s="34"/>
    </row>
    <row r="89" spans="1:15" ht="12" customHeight="1">
      <c r="A89" s="55">
        <v>72</v>
      </c>
      <c r="B89" s="9"/>
      <c r="C89" s="69" t="s">
        <v>3</v>
      </c>
      <c r="D89" s="9"/>
      <c r="E89" s="131">
        <f>+G89+K89</f>
        <v>8.8</v>
      </c>
      <c r="F89" s="131">
        <f>+H89+L89</f>
        <v>8.8</v>
      </c>
      <c r="G89" s="131">
        <v>8.8</v>
      </c>
      <c r="H89" s="131">
        <v>8.8</v>
      </c>
      <c r="I89" s="131">
        <v>6.7</v>
      </c>
      <c r="J89" s="131">
        <v>6.7</v>
      </c>
      <c r="K89" s="131"/>
      <c r="L89" s="66"/>
      <c r="M89" s="34"/>
      <c r="N89" s="34"/>
      <c r="O89" s="34"/>
    </row>
    <row r="90" spans="1:15" ht="12" customHeight="1">
      <c r="A90" s="55">
        <v>73</v>
      </c>
      <c r="B90" s="9" t="s">
        <v>59</v>
      </c>
      <c r="C90" s="20" t="s">
        <v>61</v>
      </c>
      <c r="D90" s="11" t="s">
        <v>226</v>
      </c>
      <c r="E90" s="138">
        <f aca="true" t="shared" si="21" ref="E90:J90">+E91</f>
        <v>8.6</v>
      </c>
      <c r="F90" s="138">
        <f t="shared" si="21"/>
        <v>8.3</v>
      </c>
      <c r="G90" s="138">
        <f t="shared" si="21"/>
        <v>8.6</v>
      </c>
      <c r="H90" s="138">
        <f t="shared" si="21"/>
        <v>8.3</v>
      </c>
      <c r="I90" s="138">
        <f t="shared" si="21"/>
        <v>5.9</v>
      </c>
      <c r="J90" s="138">
        <f t="shared" si="21"/>
        <v>5.6</v>
      </c>
      <c r="K90" s="138"/>
      <c r="L90" s="66"/>
      <c r="M90" s="34"/>
      <c r="N90" s="34"/>
      <c r="O90" s="34"/>
    </row>
    <row r="91" spans="1:15" ht="12" customHeight="1">
      <c r="A91" s="55">
        <v>74</v>
      </c>
      <c r="B91" s="9"/>
      <c r="C91" s="69" t="s">
        <v>3</v>
      </c>
      <c r="D91" s="9"/>
      <c r="E91" s="131">
        <f>+G91+K91</f>
        <v>8.6</v>
      </c>
      <c r="F91" s="131">
        <f>+H91+L91</f>
        <v>8.3</v>
      </c>
      <c r="G91" s="131">
        <v>8.6</v>
      </c>
      <c r="H91" s="131">
        <v>8.3</v>
      </c>
      <c r="I91" s="131">
        <v>5.9</v>
      </c>
      <c r="J91" s="131">
        <v>5.6</v>
      </c>
      <c r="K91" s="131"/>
      <c r="L91" s="66"/>
      <c r="M91" s="34"/>
      <c r="N91" s="34"/>
      <c r="O91" s="34"/>
    </row>
    <row r="92" spans="1:15" ht="12" customHeight="1">
      <c r="A92" s="55">
        <v>75</v>
      </c>
      <c r="B92" s="9" t="s">
        <v>60</v>
      </c>
      <c r="C92" s="21" t="s">
        <v>174</v>
      </c>
      <c r="D92" s="9" t="s">
        <v>63</v>
      </c>
      <c r="E92" s="138">
        <f aca="true" t="shared" si="22" ref="E92:J92">+E93</f>
        <v>127</v>
      </c>
      <c r="F92" s="138">
        <f t="shared" si="22"/>
        <v>123.1</v>
      </c>
      <c r="G92" s="138">
        <f t="shared" si="22"/>
        <v>127</v>
      </c>
      <c r="H92" s="138">
        <f t="shared" si="22"/>
        <v>123.1</v>
      </c>
      <c r="I92" s="138">
        <f t="shared" si="22"/>
        <v>92.5</v>
      </c>
      <c r="J92" s="138">
        <f t="shared" si="22"/>
        <v>89.8</v>
      </c>
      <c r="K92" s="138"/>
      <c r="L92" s="66"/>
      <c r="M92" s="34"/>
      <c r="N92" s="34"/>
      <c r="O92" s="34"/>
    </row>
    <row r="93" spans="1:15" ht="12" customHeight="1">
      <c r="A93" s="55">
        <v>76</v>
      </c>
      <c r="B93" s="9"/>
      <c r="C93" s="69" t="s">
        <v>3</v>
      </c>
      <c r="D93" s="9"/>
      <c r="E93" s="131">
        <f>+G93+K93</f>
        <v>127</v>
      </c>
      <c r="F93" s="131">
        <f>+H93+L93</f>
        <v>123.1</v>
      </c>
      <c r="G93" s="131">
        <f>111.3+15.7</f>
        <v>127</v>
      </c>
      <c r="H93" s="131">
        <v>123.1</v>
      </c>
      <c r="I93" s="131">
        <f>80.5+12</f>
        <v>92.5</v>
      </c>
      <c r="J93" s="131">
        <v>89.8</v>
      </c>
      <c r="K93" s="131"/>
      <c r="L93" s="66"/>
      <c r="M93" s="34"/>
      <c r="N93" s="34"/>
      <c r="O93" s="34"/>
    </row>
    <row r="94" spans="1:15" ht="12" customHeight="1">
      <c r="A94" s="55">
        <v>77</v>
      </c>
      <c r="B94" s="9" t="s">
        <v>62</v>
      </c>
      <c r="C94" s="21" t="s">
        <v>175</v>
      </c>
      <c r="D94" s="9" t="s">
        <v>63</v>
      </c>
      <c r="E94" s="138">
        <f aca="true" t="shared" si="23" ref="E94:J94">+E95</f>
        <v>14.6</v>
      </c>
      <c r="F94" s="138">
        <f t="shared" si="23"/>
        <v>14.6</v>
      </c>
      <c r="G94" s="138">
        <f t="shared" si="23"/>
        <v>14.6</v>
      </c>
      <c r="H94" s="138">
        <f t="shared" si="23"/>
        <v>14.6</v>
      </c>
      <c r="I94" s="138">
        <f t="shared" si="23"/>
        <v>10.2</v>
      </c>
      <c r="J94" s="138">
        <f t="shared" si="23"/>
        <v>10.2</v>
      </c>
      <c r="K94" s="138"/>
      <c r="L94" s="66"/>
      <c r="M94" s="34"/>
      <c r="N94" s="34"/>
      <c r="O94" s="34"/>
    </row>
    <row r="95" spans="1:15" ht="12" customHeight="1">
      <c r="A95" s="55">
        <v>78</v>
      </c>
      <c r="B95" s="9"/>
      <c r="C95" s="69" t="s">
        <v>3</v>
      </c>
      <c r="D95" s="9"/>
      <c r="E95" s="131">
        <f>+G95+K95</f>
        <v>14.6</v>
      </c>
      <c r="F95" s="131">
        <f>+H95+L95</f>
        <v>14.6</v>
      </c>
      <c r="G95" s="131">
        <v>14.6</v>
      </c>
      <c r="H95" s="131">
        <v>14.6</v>
      </c>
      <c r="I95" s="131">
        <v>10.2</v>
      </c>
      <c r="J95" s="131">
        <v>10.2</v>
      </c>
      <c r="K95" s="131"/>
      <c r="L95" s="66"/>
      <c r="M95" s="34"/>
      <c r="N95" s="34"/>
      <c r="O95" s="34"/>
    </row>
    <row r="96" spans="1:15" ht="12" customHeight="1">
      <c r="A96" s="55">
        <v>79</v>
      </c>
      <c r="B96" s="9" t="s">
        <v>64</v>
      </c>
      <c r="C96" s="20" t="s">
        <v>65</v>
      </c>
      <c r="D96" s="9" t="s">
        <v>63</v>
      </c>
      <c r="E96" s="138">
        <f aca="true" t="shared" si="24" ref="E96:J96">+E97</f>
        <v>13.8</v>
      </c>
      <c r="F96" s="138">
        <f t="shared" si="24"/>
        <v>13.7</v>
      </c>
      <c r="G96" s="138">
        <f t="shared" si="24"/>
        <v>13.8</v>
      </c>
      <c r="H96" s="138">
        <f t="shared" si="24"/>
        <v>13.7</v>
      </c>
      <c r="I96" s="138">
        <f t="shared" si="24"/>
        <v>10.3</v>
      </c>
      <c r="J96" s="138">
        <f t="shared" si="24"/>
        <v>10.3</v>
      </c>
      <c r="K96" s="138"/>
      <c r="L96" s="66"/>
      <c r="M96" s="34"/>
      <c r="N96" s="34"/>
      <c r="O96" s="34"/>
    </row>
    <row r="97" spans="1:15" ht="12" customHeight="1">
      <c r="A97" s="55">
        <v>80</v>
      </c>
      <c r="B97" s="9"/>
      <c r="C97" s="69" t="s">
        <v>3</v>
      </c>
      <c r="D97" s="9"/>
      <c r="E97" s="131">
        <f>+G97+K97</f>
        <v>13.8</v>
      </c>
      <c r="F97" s="131">
        <f>+H97+L97</f>
        <v>13.7</v>
      </c>
      <c r="G97" s="131">
        <v>13.8</v>
      </c>
      <c r="H97" s="131">
        <v>13.7</v>
      </c>
      <c r="I97" s="131">
        <v>10.3</v>
      </c>
      <c r="J97" s="131">
        <v>10.3</v>
      </c>
      <c r="K97" s="131"/>
      <c r="L97" s="66"/>
      <c r="M97" s="34"/>
      <c r="N97" s="34"/>
      <c r="O97" s="34"/>
    </row>
    <row r="98" spans="1:15" ht="12" customHeight="1">
      <c r="A98" s="55">
        <v>81</v>
      </c>
      <c r="B98" s="9" t="s">
        <v>66</v>
      </c>
      <c r="C98" s="21" t="s">
        <v>67</v>
      </c>
      <c r="D98" s="9" t="s">
        <v>48</v>
      </c>
      <c r="E98" s="138">
        <f aca="true" t="shared" si="25" ref="E98:J98">+E99</f>
        <v>0.6</v>
      </c>
      <c r="F98" s="138">
        <f t="shared" si="25"/>
        <v>0.6</v>
      </c>
      <c r="G98" s="138">
        <f t="shared" si="25"/>
        <v>0.6</v>
      </c>
      <c r="H98" s="138">
        <f t="shared" si="25"/>
        <v>0.6</v>
      </c>
      <c r="I98" s="138">
        <f t="shared" si="25"/>
        <v>0.4</v>
      </c>
      <c r="J98" s="138">
        <f t="shared" si="25"/>
        <v>0.4</v>
      </c>
      <c r="K98" s="138"/>
      <c r="L98" s="66"/>
      <c r="M98" s="34"/>
      <c r="N98" s="34"/>
      <c r="O98" s="34"/>
    </row>
    <row r="99" spans="1:15" ht="12" customHeight="1">
      <c r="A99" s="55">
        <v>82</v>
      </c>
      <c r="B99" s="9"/>
      <c r="C99" s="69" t="s">
        <v>3</v>
      </c>
      <c r="D99" s="9"/>
      <c r="E99" s="131">
        <f>+G99+K99</f>
        <v>0.6</v>
      </c>
      <c r="F99" s="131">
        <f>+H99+L99</f>
        <v>0.6</v>
      </c>
      <c r="G99" s="131">
        <v>0.6</v>
      </c>
      <c r="H99" s="131">
        <v>0.6</v>
      </c>
      <c r="I99" s="131">
        <v>0.4</v>
      </c>
      <c r="J99" s="131">
        <v>0.4</v>
      </c>
      <c r="K99" s="131"/>
      <c r="L99" s="66"/>
      <c r="M99" s="34"/>
      <c r="N99" s="34"/>
      <c r="O99" s="34"/>
    </row>
    <row r="100" spans="1:15" ht="12" customHeight="1">
      <c r="A100" s="55">
        <v>83</v>
      </c>
      <c r="B100" s="9" t="s">
        <v>68</v>
      </c>
      <c r="C100" s="21" t="s">
        <v>69</v>
      </c>
      <c r="D100" s="9" t="s">
        <v>63</v>
      </c>
      <c r="E100" s="138">
        <f aca="true" t="shared" si="26" ref="E100:J100">SUM(E101:E102)</f>
        <v>13</v>
      </c>
      <c r="F100" s="138">
        <f t="shared" si="26"/>
        <v>13</v>
      </c>
      <c r="G100" s="138">
        <f t="shared" si="26"/>
        <v>13</v>
      </c>
      <c r="H100" s="138">
        <f t="shared" si="26"/>
        <v>13</v>
      </c>
      <c r="I100" s="138">
        <f t="shared" si="26"/>
        <v>3.7</v>
      </c>
      <c r="J100" s="138">
        <f t="shared" si="26"/>
        <v>3.7</v>
      </c>
      <c r="K100" s="138"/>
      <c r="L100" s="66"/>
      <c r="M100" s="34"/>
      <c r="N100" s="34"/>
      <c r="O100" s="34"/>
    </row>
    <row r="101" spans="1:15" ht="12" customHeight="1">
      <c r="A101" s="55">
        <v>84</v>
      </c>
      <c r="B101" s="9"/>
      <c r="C101" s="69" t="s">
        <v>3</v>
      </c>
      <c r="D101" s="9"/>
      <c r="E101" s="131">
        <f>+G101+K101</f>
        <v>8.2</v>
      </c>
      <c r="F101" s="131">
        <f>+H101+L101</f>
        <v>8.2</v>
      </c>
      <c r="G101" s="131">
        <v>8.2</v>
      </c>
      <c r="H101" s="131">
        <v>8.2</v>
      </c>
      <c r="I101" s="131"/>
      <c r="J101" s="131"/>
      <c r="K101" s="131"/>
      <c r="L101" s="66"/>
      <c r="M101" s="34"/>
      <c r="N101" s="34"/>
      <c r="O101" s="34"/>
    </row>
    <row r="102" spans="1:15" ht="24.75" customHeight="1">
      <c r="A102" s="55">
        <v>85</v>
      </c>
      <c r="B102" s="81"/>
      <c r="C102" s="61" t="s">
        <v>8</v>
      </c>
      <c r="D102" s="81"/>
      <c r="E102" s="131">
        <f>+G102+K102</f>
        <v>4.8</v>
      </c>
      <c r="F102" s="131">
        <f>+H102+L102</f>
        <v>4.8</v>
      </c>
      <c r="G102" s="131">
        <f>4.7+0.1</f>
        <v>4.8</v>
      </c>
      <c r="H102" s="131">
        <v>4.8</v>
      </c>
      <c r="I102" s="131">
        <f>3.6+0.1</f>
        <v>3.7</v>
      </c>
      <c r="J102" s="131">
        <v>3.7</v>
      </c>
      <c r="K102" s="131"/>
      <c r="L102" s="66"/>
      <c r="M102" s="34"/>
      <c r="N102" s="34"/>
      <c r="O102" s="34"/>
    </row>
    <row r="103" spans="1:15" ht="12" customHeight="1">
      <c r="A103" s="55">
        <v>86</v>
      </c>
      <c r="B103" s="9" t="s">
        <v>70</v>
      </c>
      <c r="C103" s="21" t="s">
        <v>71</v>
      </c>
      <c r="D103" s="9" t="s">
        <v>72</v>
      </c>
      <c r="E103" s="138">
        <f aca="true" t="shared" si="27" ref="E103:J103">SUM(E104:E114)</f>
        <v>19.5</v>
      </c>
      <c r="F103" s="138">
        <f t="shared" si="27"/>
        <v>19.5</v>
      </c>
      <c r="G103" s="138">
        <f t="shared" si="27"/>
        <v>19.5</v>
      </c>
      <c r="H103" s="138">
        <f t="shared" si="27"/>
        <v>19.5</v>
      </c>
      <c r="I103" s="138">
        <f t="shared" si="27"/>
        <v>13.9</v>
      </c>
      <c r="J103" s="138">
        <f t="shared" si="27"/>
        <v>13.9</v>
      </c>
      <c r="K103" s="138"/>
      <c r="L103" s="66"/>
      <c r="M103" s="34"/>
      <c r="N103" s="34"/>
      <c r="O103" s="34"/>
    </row>
    <row r="104" spans="1:15" ht="24.75" customHeight="1">
      <c r="A104" s="55">
        <v>87</v>
      </c>
      <c r="B104" s="9"/>
      <c r="C104" s="61" t="s">
        <v>8</v>
      </c>
      <c r="D104" s="9"/>
      <c r="E104" s="131">
        <f>+G104+K104</f>
        <v>9.4</v>
      </c>
      <c r="F104" s="131">
        <f>+H104+L104</f>
        <v>9.4</v>
      </c>
      <c r="G104" s="131">
        <v>9.4</v>
      </c>
      <c r="H104" s="131">
        <v>9.4</v>
      </c>
      <c r="I104" s="131">
        <v>6.9</v>
      </c>
      <c r="J104" s="131">
        <v>6.9</v>
      </c>
      <c r="K104" s="131"/>
      <c r="L104" s="66"/>
      <c r="M104" s="34"/>
      <c r="N104" s="34"/>
      <c r="O104" s="34"/>
    </row>
    <row r="105" spans="1:15" ht="12" customHeight="1">
      <c r="A105" s="55">
        <v>88</v>
      </c>
      <c r="B105" s="9"/>
      <c r="C105" s="61" t="s">
        <v>4</v>
      </c>
      <c r="D105" s="9"/>
      <c r="E105" s="131">
        <f aca="true" t="shared" si="28" ref="E105:F114">+G105+K105</f>
        <v>1.4</v>
      </c>
      <c r="F105" s="131">
        <f t="shared" si="28"/>
        <v>1.4</v>
      </c>
      <c r="G105" s="131">
        <v>1.4</v>
      </c>
      <c r="H105" s="131">
        <v>1.4</v>
      </c>
      <c r="I105" s="131">
        <v>1</v>
      </c>
      <c r="J105" s="131">
        <v>1</v>
      </c>
      <c r="K105" s="131"/>
      <c r="L105" s="66"/>
      <c r="M105" s="34"/>
      <c r="N105" s="34"/>
      <c r="O105" s="34"/>
    </row>
    <row r="106" spans="1:15" ht="12" customHeight="1">
      <c r="A106" s="55">
        <v>89</v>
      </c>
      <c r="B106" s="9"/>
      <c r="C106" s="61" t="s">
        <v>5</v>
      </c>
      <c r="D106" s="9"/>
      <c r="E106" s="131">
        <f t="shared" si="28"/>
        <v>1</v>
      </c>
      <c r="F106" s="131">
        <f t="shared" si="28"/>
        <v>1</v>
      </c>
      <c r="G106" s="131">
        <v>1</v>
      </c>
      <c r="H106" s="131">
        <v>1</v>
      </c>
      <c r="I106" s="131">
        <v>0.7</v>
      </c>
      <c r="J106" s="131">
        <v>0.7</v>
      </c>
      <c r="K106" s="131"/>
      <c r="L106" s="66"/>
      <c r="M106" s="34"/>
      <c r="N106" s="34"/>
      <c r="O106" s="34"/>
    </row>
    <row r="107" spans="1:15" ht="12" customHeight="1">
      <c r="A107" s="55">
        <v>90</v>
      </c>
      <c r="B107" s="9"/>
      <c r="C107" s="61" t="s">
        <v>7</v>
      </c>
      <c r="D107" s="9"/>
      <c r="E107" s="131">
        <f>+G107+K107</f>
        <v>1.4</v>
      </c>
      <c r="F107" s="131">
        <f>+H107+L107</f>
        <v>1.4</v>
      </c>
      <c r="G107" s="131">
        <v>1.4</v>
      </c>
      <c r="H107" s="131">
        <v>1.4</v>
      </c>
      <c r="I107" s="131">
        <v>1</v>
      </c>
      <c r="J107" s="131">
        <v>1</v>
      </c>
      <c r="K107" s="131"/>
      <c r="L107" s="66"/>
      <c r="M107" s="34"/>
      <c r="N107" s="34"/>
      <c r="O107" s="34"/>
    </row>
    <row r="108" spans="1:15" ht="12" customHeight="1">
      <c r="A108" s="55">
        <v>91</v>
      </c>
      <c r="B108" s="9"/>
      <c r="C108" s="61" t="s">
        <v>6</v>
      </c>
      <c r="D108" s="9"/>
      <c r="E108" s="131">
        <f t="shared" si="28"/>
        <v>1</v>
      </c>
      <c r="F108" s="131">
        <f t="shared" si="28"/>
        <v>1</v>
      </c>
      <c r="G108" s="131">
        <v>1</v>
      </c>
      <c r="H108" s="131">
        <v>1</v>
      </c>
      <c r="I108" s="131">
        <v>0.7</v>
      </c>
      <c r="J108" s="131">
        <v>0.7</v>
      </c>
      <c r="K108" s="131"/>
      <c r="L108" s="66"/>
      <c r="M108" s="34"/>
      <c r="N108" s="34"/>
      <c r="O108" s="34"/>
    </row>
    <row r="109" spans="1:15" ht="12" customHeight="1">
      <c r="A109" s="55">
        <v>92</v>
      </c>
      <c r="B109" s="9"/>
      <c r="C109" s="61" t="s">
        <v>9</v>
      </c>
      <c r="D109" s="9"/>
      <c r="E109" s="131">
        <f t="shared" si="28"/>
        <v>1.4</v>
      </c>
      <c r="F109" s="131">
        <f t="shared" si="28"/>
        <v>1.4</v>
      </c>
      <c r="G109" s="131">
        <v>1.4</v>
      </c>
      <c r="H109" s="131">
        <v>1.4</v>
      </c>
      <c r="I109" s="131">
        <v>1</v>
      </c>
      <c r="J109" s="131">
        <v>1</v>
      </c>
      <c r="K109" s="131"/>
      <c r="L109" s="66"/>
      <c r="M109" s="34"/>
      <c r="N109" s="34"/>
      <c r="O109" s="34"/>
    </row>
    <row r="110" spans="1:15" ht="12" customHeight="1">
      <c r="A110" s="55">
        <v>93</v>
      </c>
      <c r="B110" s="9"/>
      <c r="C110" s="64" t="s">
        <v>10</v>
      </c>
      <c r="D110" s="9"/>
      <c r="E110" s="131">
        <f t="shared" si="28"/>
        <v>0.5</v>
      </c>
      <c r="F110" s="131">
        <f t="shared" si="28"/>
        <v>0.5</v>
      </c>
      <c r="G110" s="131">
        <v>0.5</v>
      </c>
      <c r="H110" s="131">
        <v>0.5</v>
      </c>
      <c r="I110" s="131">
        <v>0.3</v>
      </c>
      <c r="J110" s="131">
        <v>0.3</v>
      </c>
      <c r="K110" s="131"/>
      <c r="L110" s="66"/>
      <c r="M110" s="34"/>
      <c r="N110" s="34"/>
      <c r="O110" s="34"/>
    </row>
    <row r="111" spans="1:15" ht="12" customHeight="1">
      <c r="A111" s="55">
        <v>94</v>
      </c>
      <c r="B111" s="9"/>
      <c r="C111" s="61" t="s">
        <v>12</v>
      </c>
      <c r="D111" s="9"/>
      <c r="E111" s="131">
        <f>+G111+K111</f>
        <v>0.5</v>
      </c>
      <c r="F111" s="131">
        <f>+H111+L111</f>
        <v>0.5</v>
      </c>
      <c r="G111" s="131">
        <v>0.5</v>
      </c>
      <c r="H111" s="131">
        <v>0.5</v>
      </c>
      <c r="I111" s="131">
        <v>0.3</v>
      </c>
      <c r="J111" s="131">
        <v>0.3</v>
      </c>
      <c r="K111" s="131"/>
      <c r="L111" s="66"/>
      <c r="M111" s="34"/>
      <c r="N111" s="34"/>
      <c r="O111" s="34"/>
    </row>
    <row r="112" spans="1:15" ht="12" customHeight="1">
      <c r="A112" s="55">
        <v>95</v>
      </c>
      <c r="B112" s="9"/>
      <c r="C112" s="61" t="s">
        <v>11</v>
      </c>
      <c r="D112" s="9"/>
      <c r="E112" s="131">
        <f t="shared" si="28"/>
        <v>1</v>
      </c>
      <c r="F112" s="131">
        <f t="shared" si="28"/>
        <v>1</v>
      </c>
      <c r="G112" s="131">
        <v>1</v>
      </c>
      <c r="H112" s="131">
        <v>1</v>
      </c>
      <c r="I112" s="131">
        <v>0.7</v>
      </c>
      <c r="J112" s="131">
        <v>0.7</v>
      </c>
      <c r="K112" s="131"/>
      <c r="L112" s="66"/>
      <c r="M112" s="34"/>
      <c r="N112" s="34"/>
      <c r="O112" s="34"/>
    </row>
    <row r="113" spans="1:15" ht="12" customHeight="1">
      <c r="A113" s="55">
        <v>96</v>
      </c>
      <c r="B113" s="9"/>
      <c r="C113" s="61" t="s">
        <v>13</v>
      </c>
      <c r="D113" s="9"/>
      <c r="E113" s="131">
        <f t="shared" si="28"/>
        <v>0.5</v>
      </c>
      <c r="F113" s="131">
        <f t="shared" si="28"/>
        <v>0.5</v>
      </c>
      <c r="G113" s="131">
        <v>0.5</v>
      </c>
      <c r="H113" s="131">
        <v>0.5</v>
      </c>
      <c r="I113" s="131">
        <v>0.3</v>
      </c>
      <c r="J113" s="131">
        <v>0.3</v>
      </c>
      <c r="K113" s="131"/>
      <c r="L113" s="66"/>
      <c r="M113" s="34"/>
      <c r="N113" s="34"/>
      <c r="O113" s="34"/>
    </row>
    <row r="114" spans="1:15" ht="12" customHeight="1">
      <c r="A114" s="55">
        <v>97</v>
      </c>
      <c r="B114" s="9"/>
      <c r="C114" s="61" t="s">
        <v>14</v>
      </c>
      <c r="D114" s="9"/>
      <c r="E114" s="131">
        <f t="shared" si="28"/>
        <v>1.4</v>
      </c>
      <c r="F114" s="131">
        <f t="shared" si="28"/>
        <v>1.4</v>
      </c>
      <c r="G114" s="131">
        <v>1.4</v>
      </c>
      <c r="H114" s="131">
        <v>1.4</v>
      </c>
      <c r="I114" s="131">
        <v>1</v>
      </c>
      <c r="J114" s="131">
        <v>1</v>
      </c>
      <c r="K114" s="131"/>
      <c r="L114" s="66"/>
      <c r="M114" s="34"/>
      <c r="N114" s="34"/>
      <c r="O114" s="34"/>
    </row>
    <row r="115" spans="1:15" ht="24.75" customHeight="1">
      <c r="A115" s="55">
        <v>98</v>
      </c>
      <c r="B115" s="9" t="s">
        <v>176</v>
      </c>
      <c r="C115" s="21" t="s">
        <v>73</v>
      </c>
      <c r="D115" s="9" t="s">
        <v>58</v>
      </c>
      <c r="E115" s="138">
        <f>SUM(E116:E116)</f>
        <v>0.2</v>
      </c>
      <c r="F115" s="158">
        <v>0</v>
      </c>
      <c r="G115" s="138">
        <f>SUM(G116:G116)</f>
        <v>0.2</v>
      </c>
      <c r="H115" s="158">
        <f>SUM(H116:H116)</f>
        <v>0</v>
      </c>
      <c r="I115" s="138">
        <f>SUM(I116:I116)</f>
        <v>0</v>
      </c>
      <c r="J115" s="138"/>
      <c r="K115" s="138"/>
      <c r="L115" s="66"/>
      <c r="M115" s="34"/>
      <c r="N115" s="34"/>
      <c r="O115" s="34"/>
    </row>
    <row r="116" spans="1:15" ht="12" customHeight="1">
      <c r="A116" s="55">
        <v>99</v>
      </c>
      <c r="B116" s="9"/>
      <c r="C116" s="69" t="s">
        <v>3</v>
      </c>
      <c r="D116" s="9"/>
      <c r="E116" s="131">
        <f>+G116+K116</f>
        <v>0.2</v>
      </c>
      <c r="F116" s="159">
        <f>+H116+L116</f>
        <v>0</v>
      </c>
      <c r="G116" s="131">
        <v>0.2</v>
      </c>
      <c r="H116" s="159">
        <v>0</v>
      </c>
      <c r="I116" s="131"/>
      <c r="J116" s="131"/>
      <c r="K116" s="131"/>
      <c r="L116" s="66"/>
      <c r="M116" s="34"/>
      <c r="N116" s="34"/>
      <c r="O116" s="34"/>
    </row>
    <row r="117" spans="1:15" ht="12" customHeight="1">
      <c r="A117" s="55">
        <v>100</v>
      </c>
      <c r="B117" s="9"/>
      <c r="C117" s="108" t="s">
        <v>20</v>
      </c>
      <c r="D117" s="7"/>
      <c r="E117" s="132">
        <f>+G117+K117</f>
        <v>2978.2</v>
      </c>
      <c r="F117" s="132">
        <f>+H117+L117</f>
        <v>2950</v>
      </c>
      <c r="G117" s="132">
        <f aca="true" t="shared" si="29" ref="G117:L117">+G11+G18+G55+G77</f>
        <v>2970.6</v>
      </c>
      <c r="H117" s="132">
        <f t="shared" si="29"/>
        <v>2942.5</v>
      </c>
      <c r="I117" s="132">
        <f t="shared" si="29"/>
        <v>1322.9</v>
      </c>
      <c r="J117" s="132">
        <f t="shared" si="29"/>
        <v>1316.3000000000002</v>
      </c>
      <c r="K117" s="133">
        <f t="shared" si="29"/>
        <v>7.6</v>
      </c>
      <c r="L117" s="133">
        <f t="shared" si="29"/>
        <v>7.5</v>
      </c>
      <c r="M117" s="34"/>
      <c r="N117" s="1"/>
      <c r="O117" s="1"/>
    </row>
    <row r="118" spans="2:11" s="18" customFormat="1" ht="10.5" customHeight="1">
      <c r="B118" s="22"/>
      <c r="C118" s="23"/>
      <c r="D118" s="47"/>
      <c r="E118" s="16"/>
      <c r="F118" s="16"/>
      <c r="G118" s="16"/>
      <c r="H118" s="16"/>
      <c r="I118" s="16"/>
      <c r="J118" s="16"/>
      <c r="K118" s="16"/>
    </row>
    <row r="119" spans="2:12" s="18" customFormat="1" ht="12.75">
      <c r="B119" s="22"/>
      <c r="C119" s="18" t="s">
        <v>195</v>
      </c>
      <c r="D119" s="23"/>
      <c r="E119" s="16"/>
      <c r="F119" s="16"/>
      <c r="G119" s="16"/>
      <c r="H119" s="16"/>
      <c r="I119" s="16"/>
      <c r="J119" s="16"/>
      <c r="K119" s="60"/>
      <c r="L119" s="60"/>
    </row>
    <row r="120" spans="2:11" s="18" customFormat="1" ht="12.75">
      <c r="B120" s="22"/>
      <c r="C120" s="23"/>
      <c r="D120" s="47"/>
      <c r="E120" s="16"/>
      <c r="F120" s="16"/>
      <c r="G120" s="15"/>
      <c r="H120" s="15"/>
      <c r="I120" s="15"/>
      <c r="J120" s="163"/>
      <c r="K120" s="15"/>
    </row>
    <row r="121" spans="2:11" s="18" customFormat="1" ht="12.75">
      <c r="B121" s="22"/>
      <c r="C121" s="23"/>
      <c r="D121" s="47"/>
      <c r="E121" s="16"/>
      <c r="F121" s="16"/>
      <c r="G121" s="16"/>
      <c r="H121" s="16"/>
      <c r="I121" s="16"/>
      <c r="J121" s="16"/>
      <c r="K121" s="16"/>
    </row>
    <row r="122" spans="2:11" s="18" customFormat="1" ht="12.75">
      <c r="B122" s="22"/>
      <c r="C122" s="23"/>
      <c r="D122" s="47"/>
      <c r="E122" s="76"/>
      <c r="F122" s="76"/>
      <c r="G122" s="2"/>
      <c r="H122" s="2"/>
      <c r="I122" s="2"/>
      <c r="J122" s="2"/>
      <c r="K122" s="2"/>
    </row>
    <row r="123" spans="2:11" s="18" customFormat="1" ht="12.75">
      <c r="B123" s="22"/>
      <c r="C123" s="23"/>
      <c r="D123" s="47"/>
      <c r="E123" s="2"/>
      <c r="F123" s="2"/>
      <c r="G123" s="1"/>
      <c r="H123" s="1"/>
      <c r="I123" s="2"/>
      <c r="J123" s="2"/>
      <c r="K123" s="2"/>
    </row>
    <row r="124" spans="2:11" s="18" customFormat="1" ht="12.75">
      <c r="B124" s="22"/>
      <c r="C124" s="23"/>
      <c r="D124" s="47"/>
      <c r="E124" s="76"/>
      <c r="F124" s="76"/>
      <c r="G124" s="2"/>
      <c r="H124" s="2"/>
      <c r="I124" s="2"/>
      <c r="J124" s="2"/>
      <c r="K124" s="2"/>
    </row>
    <row r="125" spans="5:11" ht="12.75">
      <c r="E125" s="2"/>
      <c r="F125" s="2"/>
      <c r="G125" s="2"/>
      <c r="H125" s="2"/>
      <c r="I125" s="2"/>
      <c r="J125" s="2"/>
      <c r="K125" s="2"/>
    </row>
  </sheetData>
  <sheetProtection/>
  <mergeCells count="20">
    <mergeCell ref="A4:L4"/>
    <mergeCell ref="I8:J8"/>
    <mergeCell ref="K8:K9"/>
    <mergeCell ref="L8:L9"/>
    <mergeCell ref="E6:F7"/>
    <mergeCell ref="G6:L6"/>
    <mergeCell ref="G7:J7"/>
    <mergeCell ref="K7:L7"/>
    <mergeCell ref="E8:E9"/>
    <mergeCell ref="F8:F9"/>
    <mergeCell ref="G8:G9"/>
    <mergeCell ref="C3:L3"/>
    <mergeCell ref="C2:L2"/>
    <mergeCell ref="C1:L1"/>
    <mergeCell ref="J5:L5"/>
    <mergeCell ref="A6:A9"/>
    <mergeCell ref="B6:B9"/>
    <mergeCell ref="C6:C9"/>
    <mergeCell ref="D6:D9"/>
    <mergeCell ref="H8:H9"/>
  </mergeCells>
  <printOptions/>
  <pageMargins left="0.31496062992125984" right="0" top="0.3937007874015748" bottom="0.3937007874015748" header="0.31496062992125984" footer="0.31496062992125984"/>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Q60"/>
  <sheetViews>
    <sheetView zoomScalePageLayoutView="0" workbookViewId="0" topLeftCell="A1">
      <selection activeCell="C26" sqref="C26"/>
    </sheetView>
  </sheetViews>
  <sheetFormatPr defaultColWidth="9.140625" defaultRowHeight="12.75"/>
  <cols>
    <col min="1" max="1" width="4.8515625" style="2" customWidth="1"/>
    <col min="2" max="2" width="5.57421875" style="44" customWidth="1"/>
    <col min="3" max="3" width="48.57421875" style="44" customWidth="1"/>
    <col min="4" max="4" width="10.57421875" style="5" customWidth="1"/>
    <col min="5" max="8" width="9.421875" style="5" customWidth="1"/>
    <col min="9" max="10" width="9.00390625" style="5" customWidth="1"/>
    <col min="11" max="11" width="8.8515625" style="5" customWidth="1"/>
    <col min="12" max="12" width="9.140625" style="2" customWidth="1"/>
    <col min="13" max="16384" width="9.140625" style="2" customWidth="1"/>
  </cols>
  <sheetData>
    <row r="1" spans="9:12" ht="12.75">
      <c r="I1" s="216" t="s">
        <v>654</v>
      </c>
      <c r="J1" s="244"/>
      <c r="K1" s="244"/>
      <c r="L1" s="244"/>
    </row>
    <row r="2" spans="9:12" ht="12.75">
      <c r="I2" s="216" t="s">
        <v>656</v>
      </c>
      <c r="J2" s="244"/>
      <c r="K2" s="244"/>
      <c r="L2" s="244"/>
    </row>
    <row r="3" spans="5:12" ht="15.75">
      <c r="E3" s="216" t="s">
        <v>660</v>
      </c>
      <c r="F3" s="217"/>
      <c r="G3" s="217"/>
      <c r="H3" s="217"/>
      <c r="I3" s="217"/>
      <c r="J3" s="217"/>
      <c r="K3" s="217"/>
      <c r="L3" s="244"/>
    </row>
    <row r="4" spans="1:11" ht="22.5" customHeight="1">
      <c r="A4" s="250" t="s">
        <v>413</v>
      </c>
      <c r="B4" s="250"/>
      <c r="C4" s="250"/>
      <c r="D4" s="250"/>
      <c r="E4" s="250"/>
      <c r="F4" s="250"/>
      <c r="G4" s="250"/>
      <c r="H4" s="250"/>
      <c r="I4" s="250"/>
      <c r="J4" s="250"/>
      <c r="K4" s="250"/>
    </row>
    <row r="5" spans="1:12" ht="12.75">
      <c r="A5" s="27"/>
      <c r="B5" s="45"/>
      <c r="C5" s="45"/>
      <c r="D5" s="29"/>
      <c r="E5" s="29"/>
      <c r="F5" s="29"/>
      <c r="G5" s="29"/>
      <c r="H5" s="29"/>
      <c r="I5" s="29"/>
      <c r="J5" s="29"/>
      <c r="K5" s="219" t="s">
        <v>256</v>
      </c>
      <c r="L5" s="220"/>
    </row>
    <row r="6" spans="1:12" ht="12.75" customHeight="1">
      <c r="A6" s="234" t="s">
        <v>0</v>
      </c>
      <c r="B6" s="234" t="s">
        <v>649</v>
      </c>
      <c r="C6" s="234" t="s">
        <v>16</v>
      </c>
      <c r="D6" s="234" t="s">
        <v>100</v>
      </c>
      <c r="E6" s="227" t="s">
        <v>17</v>
      </c>
      <c r="F6" s="228"/>
      <c r="G6" s="221" t="s">
        <v>18</v>
      </c>
      <c r="H6" s="226"/>
      <c r="I6" s="226"/>
      <c r="J6" s="226"/>
      <c r="K6" s="226"/>
      <c r="L6" s="222"/>
    </row>
    <row r="7" spans="1:12" ht="12.75" customHeight="1">
      <c r="A7" s="234"/>
      <c r="B7" s="234"/>
      <c r="C7" s="234"/>
      <c r="D7" s="234"/>
      <c r="E7" s="229"/>
      <c r="F7" s="230"/>
      <c r="G7" s="221" t="s">
        <v>156</v>
      </c>
      <c r="H7" s="226"/>
      <c r="I7" s="226"/>
      <c r="J7" s="222"/>
      <c r="K7" s="221" t="s">
        <v>29</v>
      </c>
      <c r="L7" s="222"/>
    </row>
    <row r="8" spans="1:12" ht="24" customHeight="1">
      <c r="A8" s="234"/>
      <c r="B8" s="234"/>
      <c r="C8" s="234"/>
      <c r="D8" s="234"/>
      <c r="E8" s="223" t="s">
        <v>650</v>
      </c>
      <c r="F8" s="223" t="s">
        <v>651</v>
      </c>
      <c r="G8" s="223" t="s">
        <v>650</v>
      </c>
      <c r="H8" s="223" t="s">
        <v>651</v>
      </c>
      <c r="I8" s="221" t="s">
        <v>30</v>
      </c>
      <c r="J8" s="222"/>
      <c r="K8" s="223" t="s">
        <v>650</v>
      </c>
      <c r="L8" s="223" t="s">
        <v>651</v>
      </c>
    </row>
    <row r="9" spans="1:16" s="14" customFormat="1" ht="13.5" customHeight="1">
      <c r="A9" s="234"/>
      <c r="B9" s="234"/>
      <c r="C9" s="234"/>
      <c r="D9" s="234"/>
      <c r="E9" s="224"/>
      <c r="F9" s="224"/>
      <c r="G9" s="224"/>
      <c r="H9" s="224"/>
      <c r="I9" s="42" t="s">
        <v>650</v>
      </c>
      <c r="J9" s="6" t="s">
        <v>651</v>
      </c>
      <c r="K9" s="224"/>
      <c r="L9" s="224"/>
      <c r="M9" s="2"/>
      <c r="N9" s="2"/>
      <c r="O9" s="2"/>
      <c r="P9" s="2"/>
    </row>
    <row r="10" spans="1:16" s="14" customFormat="1" ht="0" customHeight="1" hidden="1">
      <c r="A10" s="6">
        <v>1</v>
      </c>
      <c r="B10" s="6">
        <v>2</v>
      </c>
      <c r="C10" s="6">
        <v>3</v>
      </c>
      <c r="D10" s="6">
        <v>4</v>
      </c>
      <c r="E10" s="6">
        <v>5</v>
      </c>
      <c r="F10" s="6">
        <v>6</v>
      </c>
      <c r="G10" s="6">
        <v>7</v>
      </c>
      <c r="H10" s="6">
        <v>8</v>
      </c>
      <c r="I10" s="6">
        <v>9</v>
      </c>
      <c r="J10" s="6">
        <v>10</v>
      </c>
      <c r="K10" s="6">
        <v>11</v>
      </c>
      <c r="L10" s="31">
        <v>12</v>
      </c>
      <c r="M10" s="2"/>
      <c r="N10" s="2"/>
      <c r="O10" s="2"/>
      <c r="P10" s="2"/>
    </row>
    <row r="11" spans="1:16" s="14" customFormat="1" ht="16.5" customHeight="1">
      <c r="A11" s="55">
        <v>1</v>
      </c>
      <c r="B11" s="7" t="s">
        <v>101</v>
      </c>
      <c r="C11" s="50" t="s">
        <v>102</v>
      </c>
      <c r="D11" s="129"/>
      <c r="E11" s="125">
        <f>+G11+K11</f>
        <v>10605.2</v>
      </c>
      <c r="F11" s="125">
        <f>+H11+L11</f>
        <v>10603.899999999998</v>
      </c>
      <c r="G11" s="125">
        <f aca="true" t="shared" si="0" ref="G11:L11">+G12</f>
        <v>10532.6</v>
      </c>
      <c r="H11" s="125">
        <f t="shared" si="0"/>
        <v>10531.299999999997</v>
      </c>
      <c r="I11" s="125">
        <f t="shared" si="0"/>
        <v>7764.600000000001</v>
      </c>
      <c r="J11" s="125">
        <f t="shared" si="0"/>
        <v>7764.500000000002</v>
      </c>
      <c r="K11" s="125">
        <f t="shared" si="0"/>
        <v>72.6</v>
      </c>
      <c r="L11" s="125">
        <f t="shared" si="0"/>
        <v>72.6</v>
      </c>
      <c r="M11" s="1"/>
      <c r="N11" s="1"/>
      <c r="O11" s="1"/>
      <c r="P11" s="2"/>
    </row>
    <row r="12" spans="1:16" s="14" customFormat="1" ht="14.25" customHeight="1">
      <c r="A12" s="55">
        <v>2</v>
      </c>
      <c r="B12" s="9"/>
      <c r="C12" s="91" t="s">
        <v>165</v>
      </c>
      <c r="D12" s="129"/>
      <c r="E12" s="126">
        <f aca="true" t="shared" si="1" ref="E12:F26">+G12+K12</f>
        <v>10605.2</v>
      </c>
      <c r="F12" s="126">
        <f t="shared" si="1"/>
        <v>10603.899999999998</v>
      </c>
      <c r="G12" s="126">
        <f aca="true" t="shared" si="2" ref="G12:L12">+G14+G17+G18+G19+G13+G15+G16+G20+G25+G22+G35+G21+G27+G28+G23+G24+G26+G29+G30+G31+G32+G33+G34+G36+G37+G38+G39+G40+G41+G46+G45</f>
        <v>10532.6</v>
      </c>
      <c r="H12" s="126">
        <f t="shared" si="2"/>
        <v>10531.299999999997</v>
      </c>
      <c r="I12" s="126">
        <f t="shared" si="2"/>
        <v>7764.600000000001</v>
      </c>
      <c r="J12" s="126">
        <f t="shared" si="2"/>
        <v>7764.500000000002</v>
      </c>
      <c r="K12" s="127">
        <f t="shared" si="2"/>
        <v>72.6</v>
      </c>
      <c r="L12" s="127">
        <f t="shared" si="2"/>
        <v>72.6</v>
      </c>
      <c r="M12" s="1"/>
      <c r="N12" s="1"/>
      <c r="O12" s="1"/>
      <c r="P12" s="2"/>
    </row>
    <row r="13" spans="1:15" ht="14.25" customHeight="1">
      <c r="A13" s="55">
        <v>3</v>
      </c>
      <c r="B13" s="75"/>
      <c r="C13" s="32" t="s">
        <v>181</v>
      </c>
      <c r="D13" s="130" t="s">
        <v>103</v>
      </c>
      <c r="E13" s="131">
        <f t="shared" si="1"/>
        <v>146.5</v>
      </c>
      <c r="F13" s="131">
        <f t="shared" si="1"/>
        <v>146.5</v>
      </c>
      <c r="G13" s="131">
        <f>146+0.5</f>
        <v>146.5</v>
      </c>
      <c r="H13" s="131">
        <v>146.5</v>
      </c>
      <c r="I13" s="131">
        <f>107.3+0.4</f>
        <v>107.7</v>
      </c>
      <c r="J13" s="131">
        <v>107.7</v>
      </c>
      <c r="K13" s="131"/>
      <c r="L13" s="66"/>
      <c r="M13" s="1"/>
      <c r="N13" s="1"/>
      <c r="O13" s="1"/>
    </row>
    <row r="14" spans="1:15" ht="12" customHeight="1">
      <c r="A14" s="55">
        <v>4</v>
      </c>
      <c r="B14" s="75"/>
      <c r="C14" s="32" t="s">
        <v>95</v>
      </c>
      <c r="D14" s="130" t="s">
        <v>103</v>
      </c>
      <c r="E14" s="131">
        <f t="shared" si="1"/>
        <v>168.4</v>
      </c>
      <c r="F14" s="131">
        <f t="shared" si="1"/>
        <v>168.4</v>
      </c>
      <c r="G14" s="131">
        <f>171-2.6</f>
        <v>168.4</v>
      </c>
      <c r="H14" s="131">
        <v>168.4</v>
      </c>
      <c r="I14" s="131">
        <f>125.7-1.9</f>
        <v>123.8</v>
      </c>
      <c r="J14" s="131">
        <v>123.8</v>
      </c>
      <c r="K14" s="131"/>
      <c r="L14" s="66"/>
      <c r="M14" s="1"/>
      <c r="N14" s="1"/>
      <c r="O14" s="1"/>
    </row>
    <row r="15" spans="1:15" ht="14.25" customHeight="1">
      <c r="A15" s="55">
        <v>5</v>
      </c>
      <c r="B15" s="75"/>
      <c r="C15" s="32" t="s">
        <v>615</v>
      </c>
      <c r="D15" s="130" t="s">
        <v>104</v>
      </c>
      <c r="E15" s="131">
        <f t="shared" si="1"/>
        <v>170.4</v>
      </c>
      <c r="F15" s="131">
        <f t="shared" si="1"/>
        <v>170.4</v>
      </c>
      <c r="G15" s="131">
        <f>170.8-0.4-9.5</f>
        <v>160.9</v>
      </c>
      <c r="H15" s="131">
        <v>160.9</v>
      </c>
      <c r="I15" s="131">
        <f>125.5-0.3-13.6</f>
        <v>111.60000000000001</v>
      </c>
      <c r="J15" s="131">
        <v>111.6</v>
      </c>
      <c r="K15" s="131">
        <v>9.5</v>
      </c>
      <c r="L15" s="66">
        <v>9.5</v>
      </c>
      <c r="M15" s="1"/>
      <c r="N15" s="1"/>
      <c r="O15" s="1"/>
    </row>
    <row r="16" spans="1:15" ht="12" customHeight="1">
      <c r="A16" s="55">
        <v>6</v>
      </c>
      <c r="B16" s="75"/>
      <c r="C16" s="32" t="s">
        <v>616</v>
      </c>
      <c r="D16" s="130" t="s">
        <v>104</v>
      </c>
      <c r="E16" s="131">
        <f t="shared" si="1"/>
        <v>200.9</v>
      </c>
      <c r="F16" s="131">
        <f t="shared" si="1"/>
        <v>200.9</v>
      </c>
      <c r="G16" s="131">
        <f>195.5+5.4</f>
        <v>200.9</v>
      </c>
      <c r="H16" s="131">
        <v>200.9</v>
      </c>
      <c r="I16" s="131">
        <f>143.8+4.2</f>
        <v>148</v>
      </c>
      <c r="J16" s="131">
        <v>148</v>
      </c>
      <c r="K16" s="131"/>
      <c r="L16" s="66"/>
      <c r="M16" s="1"/>
      <c r="N16" s="1"/>
      <c r="O16" s="1"/>
    </row>
    <row r="17" spans="1:15" ht="12" customHeight="1">
      <c r="A17" s="55">
        <v>7</v>
      </c>
      <c r="B17" s="75"/>
      <c r="C17" s="32" t="s">
        <v>74</v>
      </c>
      <c r="D17" s="130" t="s">
        <v>103</v>
      </c>
      <c r="E17" s="131">
        <f aca="true" t="shared" si="3" ref="E17:F46">+G17+K17</f>
        <v>198.29999999999998</v>
      </c>
      <c r="F17" s="131">
        <f t="shared" si="1"/>
        <v>198.3</v>
      </c>
      <c r="G17" s="131">
        <f>200.6-2.3</f>
        <v>198.29999999999998</v>
      </c>
      <c r="H17" s="131">
        <v>198.3</v>
      </c>
      <c r="I17" s="131">
        <f>145.4+0.3</f>
        <v>145.70000000000002</v>
      </c>
      <c r="J17" s="131">
        <v>145.7</v>
      </c>
      <c r="K17" s="131"/>
      <c r="L17" s="66"/>
      <c r="M17" s="1"/>
      <c r="N17" s="1"/>
      <c r="O17" s="1"/>
    </row>
    <row r="18" spans="1:15" ht="12" customHeight="1">
      <c r="A18" s="55">
        <v>8</v>
      </c>
      <c r="B18" s="75"/>
      <c r="C18" s="32" t="s">
        <v>75</v>
      </c>
      <c r="D18" s="130" t="s">
        <v>103</v>
      </c>
      <c r="E18" s="131">
        <f t="shared" si="3"/>
        <v>176.79999999999998</v>
      </c>
      <c r="F18" s="131">
        <f t="shared" si="1"/>
        <v>176.8</v>
      </c>
      <c r="G18" s="131">
        <f>175.6+1.2</f>
        <v>176.79999999999998</v>
      </c>
      <c r="H18" s="131">
        <v>176.8</v>
      </c>
      <c r="I18" s="131">
        <f>130.2+1.1</f>
        <v>131.29999999999998</v>
      </c>
      <c r="J18" s="131">
        <v>131.3</v>
      </c>
      <c r="K18" s="131"/>
      <c r="L18" s="66"/>
      <c r="M18" s="1"/>
      <c r="N18" s="1"/>
      <c r="O18" s="1"/>
    </row>
    <row r="19" spans="1:17" ht="12" customHeight="1">
      <c r="A19" s="55">
        <v>9</v>
      </c>
      <c r="B19" s="75"/>
      <c r="C19" s="32" t="s">
        <v>96</v>
      </c>
      <c r="D19" s="130" t="s">
        <v>103</v>
      </c>
      <c r="E19" s="131">
        <f t="shared" si="3"/>
        <v>185.7</v>
      </c>
      <c r="F19" s="131">
        <f t="shared" si="1"/>
        <v>185.7</v>
      </c>
      <c r="G19" s="131">
        <f>185.7-1</f>
        <v>184.7</v>
      </c>
      <c r="H19" s="131">
        <v>184.7</v>
      </c>
      <c r="I19" s="131">
        <v>136.4</v>
      </c>
      <c r="J19" s="131">
        <v>136.4</v>
      </c>
      <c r="K19" s="131">
        <v>1</v>
      </c>
      <c r="L19" s="66">
        <v>1</v>
      </c>
      <c r="M19" s="1"/>
      <c r="N19" s="1"/>
      <c r="O19" s="1"/>
      <c r="Q19" s="14"/>
    </row>
    <row r="20" spans="1:15" ht="15" customHeight="1">
      <c r="A20" s="55">
        <v>10</v>
      </c>
      <c r="B20" s="93"/>
      <c r="C20" s="180" t="s">
        <v>84</v>
      </c>
      <c r="D20" s="183" t="s">
        <v>104</v>
      </c>
      <c r="E20" s="131">
        <f t="shared" si="3"/>
        <v>222</v>
      </c>
      <c r="F20" s="131">
        <f t="shared" si="1"/>
        <v>222</v>
      </c>
      <c r="G20" s="131">
        <f>221+1</f>
        <v>222</v>
      </c>
      <c r="H20" s="131">
        <v>222</v>
      </c>
      <c r="I20" s="131">
        <f>163.5+0.8</f>
        <v>164.3</v>
      </c>
      <c r="J20" s="131">
        <v>164.3</v>
      </c>
      <c r="K20" s="131"/>
      <c r="L20" s="66"/>
      <c r="M20" s="1"/>
      <c r="N20" s="1"/>
      <c r="O20" s="1"/>
    </row>
    <row r="21" spans="1:15" ht="12" customHeight="1">
      <c r="A21" s="55">
        <v>11</v>
      </c>
      <c r="B21" s="93"/>
      <c r="C21" s="32" t="s">
        <v>77</v>
      </c>
      <c r="D21" s="183" t="s">
        <v>105</v>
      </c>
      <c r="E21" s="131">
        <f>+G21+K21</f>
        <v>837</v>
      </c>
      <c r="F21" s="131">
        <f t="shared" si="1"/>
        <v>837</v>
      </c>
      <c r="G21" s="131">
        <f>851.7-14.7</f>
        <v>837</v>
      </c>
      <c r="H21" s="131">
        <v>837</v>
      </c>
      <c r="I21" s="131">
        <f>633.7-10.7</f>
        <v>623</v>
      </c>
      <c r="J21" s="131">
        <v>623</v>
      </c>
      <c r="K21" s="131"/>
      <c r="L21" s="66"/>
      <c r="M21" s="1"/>
      <c r="N21" s="1"/>
      <c r="O21" s="1"/>
    </row>
    <row r="22" spans="1:15" ht="14.25" customHeight="1">
      <c r="A22" s="55">
        <v>12</v>
      </c>
      <c r="B22" s="93"/>
      <c r="C22" s="32" t="s">
        <v>85</v>
      </c>
      <c r="D22" s="130" t="s">
        <v>105</v>
      </c>
      <c r="E22" s="131">
        <f>+G22+K22</f>
        <v>682.2</v>
      </c>
      <c r="F22" s="131">
        <f t="shared" si="1"/>
        <v>682.0999999999999</v>
      </c>
      <c r="G22" s="131">
        <f>680.1+2.1-6.3</f>
        <v>675.9000000000001</v>
      </c>
      <c r="H22" s="131">
        <v>675.8</v>
      </c>
      <c r="I22" s="131">
        <f>506+1.4-2</f>
        <v>505.4</v>
      </c>
      <c r="J22" s="131">
        <v>505.4</v>
      </c>
      <c r="K22" s="131">
        <v>6.3</v>
      </c>
      <c r="L22" s="66">
        <v>6.3</v>
      </c>
      <c r="M22" s="1"/>
      <c r="N22" s="1"/>
      <c r="O22" s="1"/>
    </row>
    <row r="23" spans="1:15" ht="12" customHeight="1">
      <c r="A23" s="55">
        <v>13</v>
      </c>
      <c r="B23" s="75"/>
      <c r="C23" s="180" t="s">
        <v>267</v>
      </c>
      <c r="D23" s="130" t="s">
        <v>105</v>
      </c>
      <c r="E23" s="131">
        <f>+G23+K23</f>
        <v>765.2</v>
      </c>
      <c r="F23" s="131">
        <f t="shared" si="1"/>
        <v>765.1999999999999</v>
      </c>
      <c r="G23" s="131">
        <f>772-1-6.8-11.9</f>
        <v>752.3000000000001</v>
      </c>
      <c r="H23" s="131">
        <v>752.3</v>
      </c>
      <c r="I23" s="131">
        <f>575.4-4.7-21.5</f>
        <v>549.1999999999999</v>
      </c>
      <c r="J23" s="131">
        <v>549.2</v>
      </c>
      <c r="K23" s="131">
        <f>1+11.9</f>
        <v>12.9</v>
      </c>
      <c r="L23" s="66">
        <v>12.9</v>
      </c>
      <c r="M23" s="1"/>
      <c r="N23" s="1"/>
      <c r="O23" s="1"/>
    </row>
    <row r="24" spans="1:15" ht="12" customHeight="1">
      <c r="A24" s="55">
        <v>14</v>
      </c>
      <c r="B24" s="93"/>
      <c r="C24" s="180" t="s">
        <v>268</v>
      </c>
      <c r="D24" s="183" t="s">
        <v>105</v>
      </c>
      <c r="E24" s="131">
        <f>+G24+K24</f>
        <v>604.3000000000001</v>
      </c>
      <c r="F24" s="131">
        <f t="shared" si="1"/>
        <v>604.2</v>
      </c>
      <c r="G24" s="131">
        <f>612.7-8.4</f>
        <v>604.3000000000001</v>
      </c>
      <c r="H24" s="131">
        <v>604.2</v>
      </c>
      <c r="I24" s="131">
        <f>456.9-6.1</f>
        <v>450.79999999999995</v>
      </c>
      <c r="J24" s="131">
        <v>450.8</v>
      </c>
      <c r="K24" s="131"/>
      <c r="L24" s="66"/>
      <c r="M24" s="1"/>
      <c r="N24" s="1"/>
      <c r="O24" s="1"/>
    </row>
    <row r="25" spans="1:15" ht="14.25" customHeight="1">
      <c r="A25" s="55">
        <v>15</v>
      </c>
      <c r="B25" s="93"/>
      <c r="C25" s="180" t="s">
        <v>78</v>
      </c>
      <c r="D25" s="183" t="s">
        <v>105</v>
      </c>
      <c r="E25" s="131">
        <f t="shared" si="3"/>
        <v>588.6</v>
      </c>
      <c r="F25" s="131">
        <f t="shared" si="1"/>
        <v>588.6</v>
      </c>
      <c r="G25" s="131">
        <f>618-1.2-29.4-16.8</f>
        <v>570.6</v>
      </c>
      <c r="H25" s="131">
        <v>570.6</v>
      </c>
      <c r="I25" s="131">
        <f>460.5-22-12.7</f>
        <v>425.8</v>
      </c>
      <c r="J25" s="131">
        <v>425.8</v>
      </c>
      <c r="K25" s="131">
        <f>1.2+16.8</f>
        <v>18</v>
      </c>
      <c r="L25" s="66">
        <v>18</v>
      </c>
      <c r="M25" s="1"/>
      <c r="N25" s="1"/>
      <c r="O25" s="1"/>
    </row>
    <row r="26" spans="1:15" ht="12" customHeight="1">
      <c r="A26" s="55">
        <v>16</v>
      </c>
      <c r="B26" s="93"/>
      <c r="C26" s="32" t="s">
        <v>273</v>
      </c>
      <c r="D26" s="183" t="s">
        <v>105</v>
      </c>
      <c r="E26" s="131">
        <f>+G26+K26</f>
        <v>488.9</v>
      </c>
      <c r="F26" s="131">
        <f t="shared" si="1"/>
        <v>488.9</v>
      </c>
      <c r="G26" s="131">
        <f>488.5+0.4</f>
        <v>488.9</v>
      </c>
      <c r="H26" s="131">
        <v>488.9</v>
      </c>
      <c r="I26" s="131">
        <f>363.9+0.2-3.8</f>
        <v>360.29999999999995</v>
      </c>
      <c r="J26" s="131">
        <v>360.3</v>
      </c>
      <c r="K26" s="131"/>
      <c r="L26" s="66"/>
      <c r="M26" s="1"/>
      <c r="N26" s="1"/>
      <c r="O26" s="1"/>
    </row>
    <row r="27" spans="1:15" ht="15" customHeight="1">
      <c r="A27" s="55">
        <v>17</v>
      </c>
      <c r="B27" s="75"/>
      <c r="C27" s="180" t="s">
        <v>222</v>
      </c>
      <c r="D27" s="130" t="s">
        <v>106</v>
      </c>
      <c r="E27" s="131">
        <f t="shared" si="3"/>
        <v>876.1</v>
      </c>
      <c r="F27" s="131">
        <f t="shared" si="3"/>
        <v>876.1</v>
      </c>
      <c r="G27" s="131">
        <f>859.2+16.9</f>
        <v>876.1</v>
      </c>
      <c r="H27" s="131">
        <v>876.1</v>
      </c>
      <c r="I27" s="131">
        <f>635.4+12.5</f>
        <v>647.9</v>
      </c>
      <c r="J27" s="131">
        <v>647.9</v>
      </c>
      <c r="K27" s="131"/>
      <c r="L27" s="66"/>
      <c r="M27" s="1"/>
      <c r="N27" s="1"/>
      <c r="O27" s="1"/>
    </row>
    <row r="28" spans="1:15" ht="12" customHeight="1">
      <c r="A28" s="55">
        <v>18</v>
      </c>
      <c r="B28" s="75"/>
      <c r="C28" s="32" t="s">
        <v>224</v>
      </c>
      <c r="D28" s="184" t="s">
        <v>157</v>
      </c>
      <c r="E28" s="131">
        <f t="shared" si="3"/>
        <v>1071.1999999999998</v>
      </c>
      <c r="F28" s="131">
        <f t="shared" si="3"/>
        <v>1071.2</v>
      </c>
      <c r="G28" s="131">
        <f>1076.1-5-4.9</f>
        <v>1066.1999999999998</v>
      </c>
      <c r="H28" s="131">
        <v>1066.2</v>
      </c>
      <c r="I28" s="131">
        <f>795.6-3.8-7.8</f>
        <v>784.0000000000001</v>
      </c>
      <c r="J28" s="131">
        <v>784</v>
      </c>
      <c r="K28" s="131">
        <v>5</v>
      </c>
      <c r="L28" s="66">
        <v>5</v>
      </c>
      <c r="M28" s="1"/>
      <c r="N28" s="1"/>
      <c r="O28" s="1"/>
    </row>
    <row r="29" spans="1:15" ht="12" customHeight="1">
      <c r="A29" s="55">
        <v>19</v>
      </c>
      <c r="B29" s="93"/>
      <c r="C29" s="180" t="s">
        <v>223</v>
      </c>
      <c r="D29" s="185" t="s">
        <v>157</v>
      </c>
      <c r="E29" s="131">
        <f t="shared" si="3"/>
        <v>714.6</v>
      </c>
      <c r="F29" s="131">
        <f t="shared" si="3"/>
        <v>714.5</v>
      </c>
      <c r="G29" s="131">
        <f>708.9+5.7</f>
        <v>714.6</v>
      </c>
      <c r="H29" s="131">
        <v>714.5</v>
      </c>
      <c r="I29" s="131">
        <f>525.5+4.3-13.7</f>
        <v>516.0999999999999</v>
      </c>
      <c r="J29" s="131">
        <v>516.1</v>
      </c>
      <c r="K29" s="131"/>
      <c r="L29" s="66"/>
      <c r="M29" s="1"/>
      <c r="N29" s="1"/>
      <c r="O29" s="1"/>
    </row>
    <row r="30" spans="1:15" ht="12" customHeight="1">
      <c r="A30" s="55">
        <v>20</v>
      </c>
      <c r="B30" s="75"/>
      <c r="C30" s="180" t="s">
        <v>79</v>
      </c>
      <c r="D30" s="130" t="s">
        <v>106</v>
      </c>
      <c r="E30" s="131">
        <f t="shared" si="3"/>
        <v>237.4</v>
      </c>
      <c r="F30" s="131">
        <f t="shared" si="3"/>
        <v>237.4</v>
      </c>
      <c r="G30" s="131">
        <f>236.4-1.1+1</f>
        <v>236.3</v>
      </c>
      <c r="H30" s="131">
        <v>236.3</v>
      </c>
      <c r="I30" s="131">
        <f>176.8+0.8</f>
        <v>177.60000000000002</v>
      </c>
      <c r="J30" s="131">
        <v>177.6</v>
      </c>
      <c r="K30" s="131">
        <v>1.1</v>
      </c>
      <c r="L30" s="66">
        <v>1.1</v>
      </c>
      <c r="M30" s="1"/>
      <c r="N30" s="1"/>
      <c r="O30" s="1"/>
    </row>
    <row r="31" spans="1:15" ht="12" customHeight="1">
      <c r="A31" s="55">
        <v>21</v>
      </c>
      <c r="B31" s="93"/>
      <c r="C31" s="180" t="s">
        <v>270</v>
      </c>
      <c r="D31" s="183" t="s">
        <v>106</v>
      </c>
      <c r="E31" s="131">
        <f t="shared" si="3"/>
        <v>501.5</v>
      </c>
      <c r="F31" s="131">
        <f t="shared" si="3"/>
        <v>501.4</v>
      </c>
      <c r="G31" s="131">
        <f>492.4-2+9.1-3.5</f>
        <v>496</v>
      </c>
      <c r="H31" s="131">
        <f>496-0.1</f>
        <v>495.9</v>
      </c>
      <c r="I31" s="131">
        <f>367.9+7-3.5</f>
        <v>371.4</v>
      </c>
      <c r="J31" s="131">
        <v>371.4</v>
      </c>
      <c r="K31" s="131">
        <f>2+3.5</f>
        <v>5.5</v>
      </c>
      <c r="L31" s="66">
        <v>5.5</v>
      </c>
      <c r="M31" s="1"/>
      <c r="N31" s="1"/>
      <c r="O31" s="1"/>
    </row>
    <row r="32" spans="1:15" ht="12" customHeight="1">
      <c r="A32" s="55">
        <v>22</v>
      </c>
      <c r="B32" s="75"/>
      <c r="C32" s="180" t="s">
        <v>271</v>
      </c>
      <c r="D32" s="130" t="s">
        <v>106</v>
      </c>
      <c r="E32" s="131">
        <f t="shared" si="3"/>
        <v>231.6</v>
      </c>
      <c r="F32" s="131">
        <v>231.5</v>
      </c>
      <c r="G32" s="131">
        <f>235.5-3.9-2.4</f>
        <v>229.2</v>
      </c>
      <c r="H32" s="131">
        <v>229.1</v>
      </c>
      <c r="I32" s="131">
        <f>176.8-2.9-18.1</f>
        <v>155.8</v>
      </c>
      <c r="J32" s="131">
        <v>155.8</v>
      </c>
      <c r="K32" s="131">
        <v>2.4</v>
      </c>
      <c r="L32" s="66">
        <v>2.4</v>
      </c>
      <c r="M32" s="1"/>
      <c r="N32" s="1"/>
      <c r="O32" s="1"/>
    </row>
    <row r="33" spans="1:15" ht="14.25" customHeight="1">
      <c r="A33" s="55">
        <v>23</v>
      </c>
      <c r="B33" s="93"/>
      <c r="C33" s="180" t="s">
        <v>80</v>
      </c>
      <c r="D33" s="183" t="s">
        <v>106</v>
      </c>
      <c r="E33" s="131">
        <f t="shared" si="3"/>
        <v>226.9</v>
      </c>
      <c r="F33" s="131">
        <f t="shared" si="3"/>
        <v>226.89999999999998</v>
      </c>
      <c r="G33" s="131">
        <f>225.1+1.8-2.2</f>
        <v>224.70000000000002</v>
      </c>
      <c r="H33" s="131">
        <v>224.7</v>
      </c>
      <c r="I33" s="131">
        <f>168.7+1.3-4.2</f>
        <v>165.8</v>
      </c>
      <c r="J33" s="131">
        <v>165.8</v>
      </c>
      <c r="K33" s="131">
        <v>2.2</v>
      </c>
      <c r="L33" s="66">
        <v>2.2</v>
      </c>
      <c r="M33" s="1"/>
      <c r="N33" s="1"/>
      <c r="O33" s="1"/>
    </row>
    <row r="34" spans="1:15" ht="14.25" customHeight="1">
      <c r="A34" s="55">
        <v>24</v>
      </c>
      <c r="B34" s="75"/>
      <c r="C34" s="180" t="s">
        <v>272</v>
      </c>
      <c r="D34" s="130" t="s">
        <v>106</v>
      </c>
      <c r="E34" s="131">
        <f t="shared" si="3"/>
        <v>246.4</v>
      </c>
      <c r="F34" s="131">
        <f t="shared" si="3"/>
        <v>246.39999999999998</v>
      </c>
      <c r="G34" s="131">
        <f>244+2.4-1.2</f>
        <v>245.20000000000002</v>
      </c>
      <c r="H34" s="131">
        <v>245.2</v>
      </c>
      <c r="I34" s="131">
        <f>182.8+1.8-8.5</f>
        <v>176.10000000000002</v>
      </c>
      <c r="J34" s="131">
        <v>176.1</v>
      </c>
      <c r="K34" s="131">
        <v>1.2</v>
      </c>
      <c r="L34" s="66">
        <v>1.2</v>
      </c>
      <c r="M34" s="1"/>
      <c r="N34" s="1"/>
      <c r="O34" s="1"/>
    </row>
    <row r="35" spans="1:15" ht="13.5" customHeight="1">
      <c r="A35" s="55">
        <v>25</v>
      </c>
      <c r="B35" s="186"/>
      <c r="C35" s="180" t="s">
        <v>192</v>
      </c>
      <c r="D35" s="184" t="s">
        <v>414</v>
      </c>
      <c r="E35" s="131">
        <f>+G35+K35</f>
        <v>311.6</v>
      </c>
      <c r="F35" s="131">
        <f t="shared" si="3"/>
        <v>311.2</v>
      </c>
      <c r="G35" s="131">
        <f>301.3+10.3</f>
        <v>311.6</v>
      </c>
      <c r="H35" s="131">
        <v>311.2</v>
      </c>
      <c r="I35" s="131">
        <f>223.9+7.7-3.8</f>
        <v>227.79999999999998</v>
      </c>
      <c r="J35" s="131">
        <v>227.7</v>
      </c>
      <c r="K35" s="131"/>
      <c r="L35" s="66"/>
      <c r="M35" s="1"/>
      <c r="N35" s="1"/>
      <c r="O35" s="1"/>
    </row>
    <row r="36" spans="1:15" ht="15" customHeight="1">
      <c r="A36" s="55">
        <v>26</v>
      </c>
      <c r="B36" s="93"/>
      <c r="C36" s="32" t="s">
        <v>88</v>
      </c>
      <c r="D36" s="183" t="s">
        <v>106</v>
      </c>
      <c r="E36" s="131">
        <f>+G36+K36</f>
        <v>399</v>
      </c>
      <c r="F36" s="131">
        <f t="shared" si="3"/>
        <v>399</v>
      </c>
      <c r="G36" s="131">
        <f>397+2-7.5</f>
        <v>391.5</v>
      </c>
      <c r="H36" s="131">
        <v>391.5</v>
      </c>
      <c r="I36" s="131">
        <f>298.8+1.5-7.5</f>
        <v>292.8</v>
      </c>
      <c r="J36" s="131">
        <v>292.8</v>
      </c>
      <c r="K36" s="131">
        <v>7.5</v>
      </c>
      <c r="L36" s="66">
        <v>7.5</v>
      </c>
      <c r="M36" s="1"/>
      <c r="N36" s="1"/>
      <c r="O36" s="1"/>
    </row>
    <row r="37" spans="1:15" ht="12" customHeight="1">
      <c r="A37" s="55">
        <v>27</v>
      </c>
      <c r="B37" s="75"/>
      <c r="C37" s="32" t="s">
        <v>97</v>
      </c>
      <c r="D37" s="130" t="s">
        <v>107</v>
      </c>
      <c r="E37" s="131">
        <f t="shared" si="3"/>
        <v>16.900000000000002</v>
      </c>
      <c r="F37" s="131">
        <f t="shared" si="3"/>
        <v>16.9</v>
      </c>
      <c r="G37" s="131">
        <f>16.6+0.3</f>
        <v>16.900000000000002</v>
      </c>
      <c r="H37" s="131">
        <v>16.9</v>
      </c>
      <c r="I37" s="131">
        <f>12.7+0.2</f>
        <v>12.899999999999999</v>
      </c>
      <c r="J37" s="131">
        <v>12.9</v>
      </c>
      <c r="K37" s="131"/>
      <c r="L37" s="66"/>
      <c r="M37" s="1"/>
      <c r="N37" s="1"/>
      <c r="O37" s="1"/>
    </row>
    <row r="38" spans="1:15" ht="12" customHeight="1">
      <c r="A38" s="55">
        <v>28</v>
      </c>
      <c r="B38" s="75"/>
      <c r="C38" s="32" t="s">
        <v>86</v>
      </c>
      <c r="D38" s="130" t="s">
        <v>107</v>
      </c>
      <c r="E38" s="131">
        <f t="shared" si="3"/>
        <v>9.600000000000001</v>
      </c>
      <c r="F38" s="131">
        <f t="shared" si="3"/>
        <v>9.5</v>
      </c>
      <c r="G38" s="131">
        <f>9.8-0.2</f>
        <v>9.600000000000001</v>
      </c>
      <c r="H38" s="131">
        <v>9.5</v>
      </c>
      <c r="I38" s="131">
        <f>7.5-0.2</f>
        <v>7.3</v>
      </c>
      <c r="J38" s="131">
        <v>7.3</v>
      </c>
      <c r="K38" s="131"/>
      <c r="L38" s="66"/>
      <c r="M38" s="1"/>
      <c r="N38" s="1"/>
      <c r="O38" s="1"/>
    </row>
    <row r="39" spans="1:15" ht="14.25" customHeight="1">
      <c r="A39" s="55">
        <v>29</v>
      </c>
      <c r="B39" s="75"/>
      <c r="C39" s="32" t="s">
        <v>87</v>
      </c>
      <c r="D39" s="130" t="s">
        <v>107</v>
      </c>
      <c r="E39" s="131">
        <f t="shared" si="3"/>
        <v>34.1</v>
      </c>
      <c r="F39" s="131">
        <f t="shared" si="3"/>
        <v>34.1</v>
      </c>
      <c r="G39" s="131">
        <f>34+0.1</f>
        <v>34.1</v>
      </c>
      <c r="H39" s="131">
        <v>34.1</v>
      </c>
      <c r="I39" s="131">
        <v>26</v>
      </c>
      <c r="J39" s="131">
        <v>26</v>
      </c>
      <c r="K39" s="131"/>
      <c r="L39" s="66"/>
      <c r="M39" s="1"/>
      <c r="N39" s="1"/>
      <c r="O39" s="1"/>
    </row>
    <row r="40" spans="1:15" ht="12" customHeight="1">
      <c r="A40" s="55">
        <v>30</v>
      </c>
      <c r="B40" s="75"/>
      <c r="C40" s="32" t="s">
        <v>193</v>
      </c>
      <c r="D40" s="130" t="s">
        <v>107</v>
      </c>
      <c r="E40" s="131">
        <f t="shared" si="3"/>
        <v>44.8</v>
      </c>
      <c r="F40" s="131">
        <f t="shared" si="3"/>
        <v>44.8</v>
      </c>
      <c r="G40" s="131">
        <f>46-1.2</f>
        <v>44.8</v>
      </c>
      <c r="H40" s="131">
        <v>44.8</v>
      </c>
      <c r="I40" s="131">
        <f>35.1-0.9</f>
        <v>34.2</v>
      </c>
      <c r="J40" s="131">
        <v>34.2</v>
      </c>
      <c r="K40" s="131"/>
      <c r="L40" s="66"/>
      <c r="M40" s="1"/>
      <c r="N40" s="1"/>
      <c r="O40" s="1"/>
    </row>
    <row r="41" spans="1:15" ht="12.75" customHeight="1">
      <c r="A41" s="55">
        <v>31</v>
      </c>
      <c r="B41" s="75"/>
      <c r="C41" s="32" t="s">
        <v>172</v>
      </c>
      <c r="D41" s="130" t="s">
        <v>171</v>
      </c>
      <c r="E41" s="131">
        <f>+G41+K41</f>
        <v>139</v>
      </c>
      <c r="F41" s="131">
        <f t="shared" si="3"/>
        <v>138.8</v>
      </c>
      <c r="G41" s="131">
        <f>+G42+G43+G44</f>
        <v>139</v>
      </c>
      <c r="H41" s="131">
        <f>+H42+H43+H44</f>
        <v>138.8</v>
      </c>
      <c r="I41" s="131">
        <f>+I42+I43+I44</f>
        <v>105</v>
      </c>
      <c r="J41" s="131">
        <v>105</v>
      </c>
      <c r="K41" s="131">
        <f>+K42+K43+K44</f>
        <v>0</v>
      </c>
      <c r="L41" s="66"/>
      <c r="M41" s="1"/>
      <c r="N41" s="1"/>
      <c r="O41" s="1"/>
    </row>
    <row r="42" spans="1:15" ht="24" customHeight="1">
      <c r="A42" s="187" t="s">
        <v>434</v>
      </c>
      <c r="B42" s="188"/>
      <c r="C42" s="189" t="s">
        <v>173</v>
      </c>
      <c r="D42" s="130"/>
      <c r="E42" s="131">
        <f t="shared" si="3"/>
        <v>80.9</v>
      </c>
      <c r="F42" s="131">
        <f t="shared" si="3"/>
        <v>80.7</v>
      </c>
      <c r="G42" s="131">
        <f>76.7+4.2</f>
        <v>80.9</v>
      </c>
      <c r="H42" s="131">
        <v>80.7</v>
      </c>
      <c r="I42" s="131">
        <f>58.6+3.2</f>
        <v>61.800000000000004</v>
      </c>
      <c r="J42" s="131">
        <v>61.8</v>
      </c>
      <c r="K42" s="131"/>
      <c r="L42" s="66"/>
      <c r="M42" s="1"/>
      <c r="N42" s="1"/>
      <c r="O42" s="1"/>
    </row>
    <row r="43" spans="1:15" ht="12" customHeight="1">
      <c r="A43" s="187" t="s">
        <v>564</v>
      </c>
      <c r="B43" s="188"/>
      <c r="C43" s="190" t="s">
        <v>166</v>
      </c>
      <c r="D43" s="130"/>
      <c r="E43" s="131">
        <f t="shared" si="3"/>
        <v>9.6</v>
      </c>
      <c r="F43" s="131">
        <f t="shared" si="3"/>
        <v>9.6</v>
      </c>
      <c r="G43" s="131">
        <f>9.7-0.1</f>
        <v>9.6</v>
      </c>
      <c r="H43" s="131">
        <v>9.6</v>
      </c>
      <c r="I43" s="131">
        <v>7.4</v>
      </c>
      <c r="J43" s="131">
        <v>7.4</v>
      </c>
      <c r="K43" s="131"/>
      <c r="L43" s="66"/>
      <c r="M43" s="1"/>
      <c r="N43" s="1"/>
      <c r="O43" s="1"/>
    </row>
    <row r="44" spans="1:15" ht="12" customHeight="1">
      <c r="A44" s="187" t="s">
        <v>565</v>
      </c>
      <c r="B44" s="188"/>
      <c r="C44" s="190" t="s">
        <v>225</v>
      </c>
      <c r="D44" s="130"/>
      <c r="E44" s="131">
        <f t="shared" si="3"/>
        <v>48.5</v>
      </c>
      <c r="F44" s="131">
        <f t="shared" si="3"/>
        <v>48.5</v>
      </c>
      <c r="G44" s="131">
        <f>63.6-15.1</f>
        <v>48.5</v>
      </c>
      <c r="H44" s="131">
        <v>48.5</v>
      </c>
      <c r="I44" s="131">
        <f>46.9-11.1</f>
        <v>35.8</v>
      </c>
      <c r="J44" s="131">
        <v>35.8</v>
      </c>
      <c r="K44" s="131"/>
      <c r="L44" s="66"/>
      <c r="M44" s="1"/>
      <c r="N44" s="1"/>
      <c r="O44" s="1"/>
    </row>
    <row r="45" spans="1:15" ht="12" customHeight="1">
      <c r="A45" s="55">
        <v>32</v>
      </c>
      <c r="B45" s="75"/>
      <c r="C45" s="191" t="s">
        <v>15</v>
      </c>
      <c r="D45" s="130" t="s">
        <v>103</v>
      </c>
      <c r="E45" s="131">
        <f>+G45+K45</f>
        <v>65.4</v>
      </c>
      <c r="F45" s="131">
        <f t="shared" si="3"/>
        <v>65.3</v>
      </c>
      <c r="G45" s="131">
        <f>66.4-1</f>
        <v>65.4</v>
      </c>
      <c r="H45" s="131">
        <v>65.3</v>
      </c>
      <c r="I45" s="131">
        <f>49-0.7</f>
        <v>48.3</v>
      </c>
      <c r="J45" s="131">
        <v>48.3</v>
      </c>
      <c r="K45" s="131"/>
      <c r="L45" s="66"/>
      <c r="M45" s="1"/>
      <c r="N45" s="1"/>
      <c r="O45" s="1"/>
    </row>
    <row r="46" spans="1:15" ht="12" customHeight="1">
      <c r="A46" s="55">
        <v>33</v>
      </c>
      <c r="B46" s="75"/>
      <c r="C46" s="191" t="s">
        <v>167</v>
      </c>
      <c r="D46" s="130" t="s">
        <v>103</v>
      </c>
      <c r="E46" s="131">
        <f t="shared" si="3"/>
        <v>43.900000000000006</v>
      </c>
      <c r="F46" s="131">
        <f t="shared" si="3"/>
        <v>43.9</v>
      </c>
      <c r="G46" s="131">
        <f>45.2-1.3</f>
        <v>43.900000000000006</v>
      </c>
      <c r="H46" s="131">
        <v>43.9</v>
      </c>
      <c r="I46" s="131">
        <f>33.3-1</f>
        <v>32.3</v>
      </c>
      <c r="J46" s="131">
        <v>32.3</v>
      </c>
      <c r="K46" s="131"/>
      <c r="L46" s="66"/>
      <c r="M46" s="1"/>
      <c r="N46" s="1"/>
      <c r="O46" s="1"/>
    </row>
    <row r="47" spans="1:15" ht="12.75" customHeight="1">
      <c r="A47" s="55">
        <v>34</v>
      </c>
      <c r="B47" s="84"/>
      <c r="C47" s="49" t="s">
        <v>20</v>
      </c>
      <c r="D47" s="130"/>
      <c r="E47" s="132">
        <f>+G47+K47</f>
        <v>10605.2</v>
      </c>
      <c r="F47" s="132">
        <f>+H47+L47</f>
        <v>10603.899999999998</v>
      </c>
      <c r="G47" s="132">
        <f aca="true" t="shared" si="4" ref="G47:L47">+G11</f>
        <v>10532.6</v>
      </c>
      <c r="H47" s="132">
        <f t="shared" si="4"/>
        <v>10531.299999999997</v>
      </c>
      <c r="I47" s="132">
        <f t="shared" si="4"/>
        <v>7764.600000000001</v>
      </c>
      <c r="J47" s="132">
        <f t="shared" si="4"/>
        <v>7764.500000000002</v>
      </c>
      <c r="K47" s="133">
        <f t="shared" si="4"/>
        <v>72.6</v>
      </c>
      <c r="L47" s="133">
        <f t="shared" si="4"/>
        <v>72.6</v>
      </c>
      <c r="M47" s="1"/>
      <c r="N47" s="1"/>
      <c r="O47" s="1"/>
    </row>
    <row r="48" spans="3:12" ht="12.75">
      <c r="C48" s="46" t="s">
        <v>194</v>
      </c>
      <c r="D48" s="47"/>
      <c r="E48" s="134"/>
      <c r="F48" s="134"/>
      <c r="G48" s="135"/>
      <c r="H48" s="135"/>
      <c r="I48" s="135"/>
      <c r="J48" s="135"/>
      <c r="K48" s="135"/>
      <c r="L48" s="58"/>
    </row>
    <row r="49" spans="5:11" ht="12.75">
      <c r="E49" s="1"/>
      <c r="F49" s="1"/>
      <c r="G49" s="34"/>
      <c r="H49" s="34"/>
      <c r="I49" s="34"/>
      <c r="J49" s="34"/>
      <c r="K49" s="34"/>
    </row>
    <row r="50" spans="4:11" ht="12.75">
      <c r="D50" s="2"/>
      <c r="E50" s="1"/>
      <c r="F50" s="1"/>
      <c r="G50" s="1"/>
      <c r="H50" s="1"/>
      <c r="I50" s="1"/>
      <c r="J50" s="1"/>
      <c r="K50" s="1"/>
    </row>
    <row r="51" spans="4:11" ht="12.75">
      <c r="D51" s="2"/>
      <c r="E51" s="94"/>
      <c r="F51" s="94"/>
      <c r="G51" s="1"/>
      <c r="H51" s="1"/>
      <c r="I51" s="1"/>
      <c r="J51" s="1"/>
      <c r="K51" s="1"/>
    </row>
    <row r="52" spans="4:11" ht="12.75">
      <c r="D52" s="2"/>
      <c r="E52" s="1"/>
      <c r="F52" s="1"/>
      <c r="G52" s="1"/>
      <c r="H52" s="1"/>
      <c r="I52" s="1"/>
      <c r="J52" s="1"/>
      <c r="K52" s="1"/>
    </row>
    <row r="53" spans="3:11" ht="12.75">
      <c r="C53" s="2"/>
      <c r="D53" s="2"/>
      <c r="E53" s="16"/>
      <c r="F53" s="16"/>
      <c r="G53" s="16"/>
      <c r="H53" s="16"/>
      <c r="I53" s="16"/>
      <c r="J53" s="16"/>
      <c r="K53" s="16"/>
    </row>
    <row r="54" spans="4:11" ht="12.75">
      <c r="D54" s="2"/>
      <c r="E54" s="16"/>
      <c r="F54" s="16"/>
      <c r="G54" s="2"/>
      <c r="H54" s="2"/>
      <c r="I54" s="2"/>
      <c r="J54" s="2"/>
      <c r="K54" s="2"/>
    </row>
    <row r="55" spans="4:11" ht="12.75">
      <c r="D55" s="2"/>
      <c r="E55" s="16"/>
      <c r="F55" s="16"/>
      <c r="G55" s="1"/>
      <c r="H55" s="1"/>
      <c r="I55" s="1"/>
      <c r="J55" s="1"/>
      <c r="K55" s="1"/>
    </row>
    <row r="56" spans="4:11" ht="12.75">
      <c r="D56" s="2"/>
      <c r="E56" s="1"/>
      <c r="F56" s="1"/>
      <c r="G56" s="1"/>
      <c r="H56" s="1"/>
      <c r="I56" s="1"/>
      <c r="J56" s="1"/>
      <c r="K56" s="1"/>
    </row>
    <row r="57" spans="4:11" ht="12.75">
      <c r="D57" s="2"/>
      <c r="E57" s="2"/>
      <c r="F57" s="2"/>
      <c r="G57" s="2"/>
      <c r="H57" s="2"/>
      <c r="I57" s="2"/>
      <c r="J57" s="2"/>
      <c r="K57" s="2"/>
    </row>
    <row r="58" spans="4:11" ht="12.75">
      <c r="D58" s="2"/>
      <c r="E58" s="1"/>
      <c r="F58" s="1"/>
      <c r="G58" s="1"/>
      <c r="H58" s="1"/>
      <c r="I58" s="1"/>
      <c r="J58" s="1"/>
      <c r="K58" s="1"/>
    </row>
    <row r="59" spans="4:11" ht="12.75">
      <c r="D59" s="2"/>
      <c r="E59" s="2"/>
      <c r="F59" s="2"/>
      <c r="G59" s="2"/>
      <c r="H59" s="2"/>
      <c r="I59" s="2"/>
      <c r="J59" s="2"/>
      <c r="K59" s="2"/>
    </row>
    <row r="60" spans="4:11" ht="12.75">
      <c r="D60" s="2"/>
      <c r="E60" s="2"/>
      <c r="F60" s="2"/>
      <c r="G60" s="2"/>
      <c r="H60" s="2"/>
      <c r="I60" s="2"/>
      <c r="J60" s="2"/>
      <c r="K60" s="2"/>
    </row>
  </sheetData>
  <sheetProtection/>
  <mergeCells count="20">
    <mergeCell ref="A4:K4"/>
    <mergeCell ref="K5:L5"/>
    <mergeCell ref="E3:L3"/>
    <mergeCell ref="H8:H9"/>
    <mergeCell ref="I8:J8"/>
    <mergeCell ref="K8:K9"/>
    <mergeCell ref="A6:A9"/>
    <mergeCell ref="B6:B9"/>
    <mergeCell ref="C6:C9"/>
    <mergeCell ref="D6:D9"/>
    <mergeCell ref="I1:L1"/>
    <mergeCell ref="I2:L2"/>
    <mergeCell ref="L8:L9"/>
    <mergeCell ref="E6:F7"/>
    <mergeCell ref="G6:L6"/>
    <mergeCell ref="G7:J7"/>
    <mergeCell ref="K7:L7"/>
    <mergeCell ref="E8:E9"/>
    <mergeCell ref="F8:F9"/>
    <mergeCell ref="G8:G9"/>
  </mergeCells>
  <printOptions/>
  <pageMargins left="0.5118110236220472" right="0.11811023622047245" top="0.3937007874015748" bottom="0.3937007874015748"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Q64"/>
  <sheetViews>
    <sheetView zoomScalePageLayoutView="0" workbookViewId="0" topLeftCell="A1">
      <selection activeCell="K6" sqref="K6:L6"/>
    </sheetView>
  </sheetViews>
  <sheetFormatPr defaultColWidth="9.140625" defaultRowHeight="12.75"/>
  <cols>
    <col min="1" max="1" width="4.57421875" style="2" customWidth="1"/>
    <col min="2" max="2" width="5.140625" style="44" customWidth="1"/>
    <col min="3" max="3" width="41.421875" style="44" customWidth="1"/>
    <col min="4" max="4" width="9.8515625" style="5" customWidth="1"/>
    <col min="5" max="8" width="9.421875" style="5" customWidth="1"/>
    <col min="9" max="10" width="9.00390625" style="5" customWidth="1"/>
    <col min="11" max="11" width="8.8515625" style="5" customWidth="1"/>
    <col min="12" max="16384" width="9.140625" style="2" customWidth="1"/>
  </cols>
  <sheetData>
    <row r="1" spans="3:11" ht="15.75">
      <c r="C1" s="251"/>
      <c r="D1" s="251"/>
      <c r="E1" s="251"/>
      <c r="F1" s="251"/>
      <c r="G1" s="251"/>
      <c r="H1" s="251"/>
      <c r="I1" s="251"/>
      <c r="J1" s="251"/>
      <c r="K1" s="251"/>
    </row>
    <row r="2" spans="3:12" ht="15.75">
      <c r="C2" s="216" t="s">
        <v>654</v>
      </c>
      <c r="D2" s="217"/>
      <c r="E2" s="217"/>
      <c r="F2" s="217"/>
      <c r="G2" s="217"/>
      <c r="H2" s="217"/>
      <c r="I2" s="217"/>
      <c r="J2" s="217"/>
      <c r="K2" s="217"/>
      <c r="L2" s="244"/>
    </row>
    <row r="3" spans="3:12" ht="15.75">
      <c r="C3" s="216" t="s">
        <v>656</v>
      </c>
      <c r="D3" s="217"/>
      <c r="E3" s="217"/>
      <c r="F3" s="217"/>
      <c r="G3" s="217"/>
      <c r="H3" s="217"/>
      <c r="I3" s="217"/>
      <c r="J3" s="217"/>
      <c r="K3" s="217"/>
      <c r="L3" s="218"/>
    </row>
    <row r="4" spans="5:12" ht="15.75">
      <c r="E4" s="216" t="s">
        <v>661</v>
      </c>
      <c r="F4" s="217"/>
      <c r="G4" s="217"/>
      <c r="H4" s="217"/>
      <c r="I4" s="217"/>
      <c r="J4" s="217"/>
      <c r="K4" s="217"/>
      <c r="L4" s="244"/>
    </row>
    <row r="5" spans="1:11" ht="35.25" customHeight="1">
      <c r="A5" s="252" t="s">
        <v>403</v>
      </c>
      <c r="B5" s="252"/>
      <c r="C5" s="252"/>
      <c r="D5" s="252"/>
      <c r="E5" s="252"/>
      <c r="F5" s="252"/>
      <c r="G5" s="252"/>
      <c r="H5" s="252"/>
      <c r="I5" s="252"/>
      <c r="J5" s="252"/>
      <c r="K5" s="252"/>
    </row>
    <row r="6" spans="1:12" ht="12" customHeight="1">
      <c r="A6" s="27"/>
      <c r="B6" s="45"/>
      <c r="C6" s="45"/>
      <c r="D6" s="29"/>
      <c r="E6" s="29"/>
      <c r="F6" s="29"/>
      <c r="G6" s="29"/>
      <c r="H6" s="29"/>
      <c r="I6" s="29"/>
      <c r="J6" s="29"/>
      <c r="K6" s="219" t="s">
        <v>256</v>
      </c>
      <c r="L6" s="220"/>
    </row>
    <row r="7" spans="1:12" ht="12.75" customHeight="1">
      <c r="A7" s="234" t="s">
        <v>0</v>
      </c>
      <c r="B7" s="234" t="s">
        <v>649</v>
      </c>
      <c r="C7" s="234" t="s">
        <v>16</v>
      </c>
      <c r="D7" s="234" t="s">
        <v>100</v>
      </c>
      <c r="E7" s="227" t="s">
        <v>17</v>
      </c>
      <c r="F7" s="228"/>
      <c r="G7" s="221" t="s">
        <v>18</v>
      </c>
      <c r="H7" s="226"/>
      <c r="I7" s="226"/>
      <c r="J7" s="226"/>
      <c r="K7" s="226"/>
      <c r="L7" s="222"/>
    </row>
    <row r="8" spans="1:12" ht="12.75" customHeight="1">
      <c r="A8" s="234"/>
      <c r="B8" s="234"/>
      <c r="C8" s="234"/>
      <c r="D8" s="234"/>
      <c r="E8" s="229"/>
      <c r="F8" s="230"/>
      <c r="G8" s="221" t="s">
        <v>156</v>
      </c>
      <c r="H8" s="226"/>
      <c r="I8" s="226"/>
      <c r="J8" s="222"/>
      <c r="K8" s="221" t="s">
        <v>29</v>
      </c>
      <c r="L8" s="222"/>
    </row>
    <row r="9" spans="1:12" ht="25.5" customHeight="1">
      <c r="A9" s="234"/>
      <c r="B9" s="234"/>
      <c r="C9" s="234"/>
      <c r="D9" s="234"/>
      <c r="E9" s="223" t="s">
        <v>650</v>
      </c>
      <c r="F9" s="223" t="s">
        <v>651</v>
      </c>
      <c r="G9" s="223" t="s">
        <v>650</v>
      </c>
      <c r="H9" s="223" t="s">
        <v>651</v>
      </c>
      <c r="I9" s="221" t="s">
        <v>30</v>
      </c>
      <c r="J9" s="222"/>
      <c r="K9" s="223" t="s">
        <v>650</v>
      </c>
      <c r="L9" s="223" t="s">
        <v>651</v>
      </c>
    </row>
    <row r="10" spans="1:12" ht="16.5" customHeight="1">
      <c r="A10" s="234"/>
      <c r="B10" s="234"/>
      <c r="C10" s="234"/>
      <c r="D10" s="234"/>
      <c r="E10" s="224"/>
      <c r="F10" s="224"/>
      <c r="G10" s="224"/>
      <c r="H10" s="224"/>
      <c r="I10" s="42" t="s">
        <v>650</v>
      </c>
      <c r="J10" s="6" t="s">
        <v>651</v>
      </c>
      <c r="K10" s="224"/>
      <c r="L10" s="224"/>
    </row>
    <row r="11" spans="1:15" s="14" customFormat="1" ht="12.75" customHeight="1">
      <c r="A11" s="6">
        <v>1</v>
      </c>
      <c r="B11" s="6">
        <v>2</v>
      </c>
      <c r="C11" s="6">
        <v>3</v>
      </c>
      <c r="D11" s="6">
        <v>4</v>
      </c>
      <c r="E11" s="6">
        <v>5</v>
      </c>
      <c r="F11" s="6">
        <v>6</v>
      </c>
      <c r="G11" s="6">
        <v>7</v>
      </c>
      <c r="H11" s="6">
        <v>8</v>
      </c>
      <c r="I11" s="6">
        <v>9</v>
      </c>
      <c r="J11" s="6">
        <v>10</v>
      </c>
      <c r="K11" s="6">
        <v>11</v>
      </c>
      <c r="L11" s="31">
        <v>12</v>
      </c>
      <c r="M11" s="2"/>
      <c r="N11" s="2"/>
      <c r="O11" s="2"/>
    </row>
    <row r="12" spans="1:15" s="14" customFormat="1" ht="19.5" customHeight="1">
      <c r="A12" s="55">
        <v>1</v>
      </c>
      <c r="B12" s="7" t="s">
        <v>101</v>
      </c>
      <c r="C12" s="50" t="s">
        <v>102</v>
      </c>
      <c r="D12" s="6"/>
      <c r="E12" s="152">
        <f>+G12+K12</f>
        <v>646.6</v>
      </c>
      <c r="F12" s="152">
        <f>+H12+L12</f>
        <v>646.6</v>
      </c>
      <c r="G12" s="152">
        <f>+G14+G18</f>
        <v>0</v>
      </c>
      <c r="H12" s="152"/>
      <c r="I12" s="152">
        <f>+I14+I18</f>
        <v>0</v>
      </c>
      <c r="J12" s="152"/>
      <c r="K12" s="152">
        <f>+K14+K18</f>
        <v>646.6</v>
      </c>
      <c r="L12" s="152">
        <f>+L14+L18</f>
        <v>646.6</v>
      </c>
      <c r="M12" s="1"/>
      <c r="N12" s="1"/>
      <c r="O12" s="1"/>
    </row>
    <row r="13" spans="1:15" s="14" customFormat="1" ht="37.5" customHeight="1">
      <c r="A13" s="55">
        <v>2</v>
      </c>
      <c r="B13" s="9" t="s">
        <v>164</v>
      </c>
      <c r="C13" s="21" t="s">
        <v>404</v>
      </c>
      <c r="D13" s="6"/>
      <c r="E13" s="153">
        <f>+G13+K13</f>
        <v>490</v>
      </c>
      <c r="F13" s="153">
        <f>+H13+L13</f>
        <v>490</v>
      </c>
      <c r="G13" s="153">
        <f>+G14</f>
        <v>0</v>
      </c>
      <c r="H13" s="153"/>
      <c r="I13" s="153">
        <f>+I14</f>
        <v>0</v>
      </c>
      <c r="J13" s="153"/>
      <c r="K13" s="153">
        <f>+K14</f>
        <v>490</v>
      </c>
      <c r="L13" s="153">
        <f>+L14</f>
        <v>490</v>
      </c>
      <c r="M13" s="1"/>
      <c r="N13" s="1"/>
      <c r="O13" s="1"/>
    </row>
    <row r="14" spans="1:15" ht="18" customHeight="1">
      <c r="A14" s="55">
        <v>3</v>
      </c>
      <c r="B14" s="7"/>
      <c r="C14" s="35" t="s">
        <v>202</v>
      </c>
      <c r="D14" s="9"/>
      <c r="E14" s="153">
        <f>SUM(E16:E16)</f>
        <v>490</v>
      </c>
      <c r="F14" s="153">
        <f>SUM(F16:F16)</f>
        <v>490</v>
      </c>
      <c r="G14" s="153">
        <f>+G16</f>
        <v>0</v>
      </c>
      <c r="H14" s="153"/>
      <c r="I14" s="153">
        <f>+I16</f>
        <v>0</v>
      </c>
      <c r="J14" s="153"/>
      <c r="K14" s="153">
        <f>+K16</f>
        <v>490</v>
      </c>
      <c r="L14" s="153">
        <f>+L16</f>
        <v>490</v>
      </c>
      <c r="M14" s="1"/>
      <c r="N14" s="1"/>
      <c r="O14" s="1"/>
    </row>
    <row r="15" spans="1:15" ht="12.75" customHeight="1">
      <c r="A15" s="55"/>
      <c r="B15" s="7"/>
      <c r="C15" s="35" t="s">
        <v>121</v>
      </c>
      <c r="D15" s="9"/>
      <c r="E15" s="153"/>
      <c r="F15" s="153"/>
      <c r="G15" s="153"/>
      <c r="H15" s="153"/>
      <c r="I15" s="153"/>
      <c r="J15" s="153"/>
      <c r="K15" s="153"/>
      <c r="L15" s="143"/>
      <c r="M15" s="1"/>
      <c r="N15" s="1"/>
      <c r="O15" s="1"/>
    </row>
    <row r="16" spans="1:15" ht="35.25" customHeight="1">
      <c r="A16" s="73" t="s">
        <v>566</v>
      </c>
      <c r="B16" s="7"/>
      <c r="C16" s="70" t="s">
        <v>220</v>
      </c>
      <c r="D16" s="9" t="s">
        <v>105</v>
      </c>
      <c r="E16" s="153">
        <f aca="true" t="shared" si="0" ref="E16:F18">+G16+K16</f>
        <v>490</v>
      </c>
      <c r="F16" s="153">
        <f t="shared" si="0"/>
        <v>490</v>
      </c>
      <c r="G16" s="153"/>
      <c r="H16" s="153"/>
      <c r="I16" s="153"/>
      <c r="J16" s="153"/>
      <c r="K16" s="153">
        <v>490</v>
      </c>
      <c r="L16" s="143">
        <v>490</v>
      </c>
      <c r="M16" s="1"/>
      <c r="N16" s="1"/>
      <c r="O16" s="1"/>
    </row>
    <row r="17" spans="1:15" ht="41.25" customHeight="1">
      <c r="A17" s="55">
        <v>4</v>
      </c>
      <c r="B17" s="9" t="s">
        <v>168</v>
      </c>
      <c r="C17" s="21" t="s">
        <v>424</v>
      </c>
      <c r="D17" s="9"/>
      <c r="E17" s="154">
        <f t="shared" si="0"/>
        <v>156.6</v>
      </c>
      <c r="F17" s="154">
        <f t="shared" si="0"/>
        <v>156.6</v>
      </c>
      <c r="G17" s="154">
        <f>+G18</f>
        <v>0</v>
      </c>
      <c r="H17" s="154"/>
      <c r="I17" s="154">
        <f>+I18</f>
        <v>0</v>
      </c>
      <c r="J17" s="154"/>
      <c r="K17" s="154">
        <f>+K18</f>
        <v>156.6</v>
      </c>
      <c r="L17" s="154">
        <f>+L18</f>
        <v>156.6</v>
      </c>
      <c r="M17" s="1"/>
      <c r="N17" s="1"/>
      <c r="O17" s="1"/>
    </row>
    <row r="18" spans="1:15" ht="19.5" customHeight="1">
      <c r="A18" s="55">
        <v>5</v>
      </c>
      <c r="B18" s="9"/>
      <c r="C18" s="35" t="s">
        <v>202</v>
      </c>
      <c r="D18" s="9"/>
      <c r="E18" s="153">
        <f t="shared" si="0"/>
        <v>156.6</v>
      </c>
      <c r="F18" s="153">
        <f t="shared" si="0"/>
        <v>156.6</v>
      </c>
      <c r="G18" s="154">
        <f>+G20+G21</f>
        <v>0</v>
      </c>
      <c r="H18" s="154"/>
      <c r="I18" s="154">
        <f>+I20+I21</f>
        <v>0</v>
      </c>
      <c r="J18" s="154"/>
      <c r="K18" s="154">
        <f>+K20+K21</f>
        <v>156.6</v>
      </c>
      <c r="L18" s="154">
        <f>+L20+L21</f>
        <v>156.6</v>
      </c>
      <c r="M18" s="1"/>
      <c r="N18" s="1"/>
      <c r="O18" s="1"/>
    </row>
    <row r="19" spans="1:15" ht="15" customHeight="1">
      <c r="A19" s="55"/>
      <c r="B19" s="9"/>
      <c r="C19" s="35" t="s">
        <v>121</v>
      </c>
      <c r="D19" s="9"/>
      <c r="E19" s="153"/>
      <c r="F19" s="153"/>
      <c r="G19" s="153"/>
      <c r="H19" s="153"/>
      <c r="I19" s="153"/>
      <c r="J19" s="153"/>
      <c r="K19" s="153"/>
      <c r="L19" s="143"/>
      <c r="M19" s="1"/>
      <c r="N19" s="1"/>
      <c r="O19" s="1"/>
    </row>
    <row r="20" spans="1:15" ht="35.25" customHeight="1">
      <c r="A20" s="73" t="s">
        <v>567</v>
      </c>
      <c r="B20" s="9"/>
      <c r="C20" s="70" t="s">
        <v>425</v>
      </c>
      <c r="D20" s="9" t="s">
        <v>105</v>
      </c>
      <c r="E20" s="153">
        <f>+G20+K20</f>
        <v>80</v>
      </c>
      <c r="F20" s="153">
        <f>+H20+L20</f>
        <v>80</v>
      </c>
      <c r="G20" s="153"/>
      <c r="H20" s="153"/>
      <c r="I20" s="153"/>
      <c r="J20" s="153"/>
      <c r="K20" s="153">
        <v>80</v>
      </c>
      <c r="L20" s="143">
        <v>80</v>
      </c>
      <c r="M20" s="1"/>
      <c r="N20" s="1"/>
      <c r="O20" s="1"/>
    </row>
    <row r="21" spans="1:15" ht="32.25" customHeight="1">
      <c r="A21" s="73" t="s">
        <v>587</v>
      </c>
      <c r="B21" s="9"/>
      <c r="C21" s="70" t="s">
        <v>588</v>
      </c>
      <c r="D21" s="9" t="s">
        <v>106</v>
      </c>
      <c r="E21" s="153">
        <f>+G21+K21</f>
        <v>76.6</v>
      </c>
      <c r="F21" s="153">
        <f>+H21+L21</f>
        <v>76.6</v>
      </c>
      <c r="G21" s="153"/>
      <c r="H21" s="153"/>
      <c r="I21" s="153"/>
      <c r="J21" s="153"/>
      <c r="K21" s="153">
        <v>76.6</v>
      </c>
      <c r="L21" s="143">
        <v>76.6</v>
      </c>
      <c r="M21" s="1"/>
      <c r="N21" s="1"/>
      <c r="O21" s="1"/>
    </row>
    <row r="22" spans="1:16" ht="19.5" customHeight="1">
      <c r="A22" s="55">
        <v>6</v>
      </c>
      <c r="B22" s="7" t="s">
        <v>112</v>
      </c>
      <c r="C22" s="10" t="s">
        <v>113</v>
      </c>
      <c r="D22" s="9"/>
      <c r="E22" s="155">
        <f>+E23</f>
        <v>249</v>
      </c>
      <c r="F22" s="155">
        <f>+F23</f>
        <v>248.8</v>
      </c>
      <c r="G22" s="155">
        <f>+G23</f>
        <v>0</v>
      </c>
      <c r="H22" s="155"/>
      <c r="I22" s="155">
        <f>+I23</f>
        <v>0</v>
      </c>
      <c r="J22" s="155"/>
      <c r="K22" s="155">
        <f>+K23</f>
        <v>249</v>
      </c>
      <c r="L22" s="155">
        <f>+L23</f>
        <v>248.8</v>
      </c>
      <c r="M22" s="1"/>
      <c r="N22" s="1"/>
      <c r="O22" s="1"/>
      <c r="P22" s="19"/>
    </row>
    <row r="23" spans="1:16" ht="37.5" customHeight="1">
      <c r="A23" s="55">
        <v>7</v>
      </c>
      <c r="B23" s="7"/>
      <c r="C23" s="21" t="s">
        <v>404</v>
      </c>
      <c r="D23" s="9"/>
      <c r="E23" s="154">
        <f>+G23+K23</f>
        <v>249</v>
      </c>
      <c r="F23" s="154">
        <f>+H23+L23</f>
        <v>248.8</v>
      </c>
      <c r="G23" s="154">
        <f>+G24</f>
        <v>0</v>
      </c>
      <c r="H23" s="154"/>
      <c r="I23" s="154">
        <f>+I24</f>
        <v>0</v>
      </c>
      <c r="J23" s="154"/>
      <c r="K23" s="154">
        <f>+K24</f>
        <v>249</v>
      </c>
      <c r="L23" s="154">
        <v>248.8</v>
      </c>
      <c r="M23" s="1"/>
      <c r="N23" s="1"/>
      <c r="O23" s="1"/>
      <c r="P23" s="19"/>
    </row>
    <row r="24" spans="1:15" ht="12" customHeight="1">
      <c r="A24" s="55">
        <v>8</v>
      </c>
      <c r="B24" s="7"/>
      <c r="C24" s="35" t="s">
        <v>202</v>
      </c>
      <c r="D24" s="9"/>
      <c r="E24" s="153">
        <f>SUM(E26)</f>
        <v>249</v>
      </c>
      <c r="F24" s="153">
        <f>SUM(F26)</f>
        <v>248.8</v>
      </c>
      <c r="G24" s="153">
        <f>+G26</f>
        <v>0</v>
      </c>
      <c r="H24" s="153"/>
      <c r="I24" s="153">
        <f>+I26</f>
        <v>0</v>
      </c>
      <c r="J24" s="153"/>
      <c r="K24" s="153">
        <f>+K26</f>
        <v>249</v>
      </c>
      <c r="L24" s="153">
        <f>+L26</f>
        <v>248.8</v>
      </c>
      <c r="M24" s="1"/>
      <c r="N24" s="1"/>
      <c r="O24" s="1"/>
    </row>
    <row r="25" spans="1:15" ht="12" customHeight="1">
      <c r="A25" s="55"/>
      <c r="B25" s="7"/>
      <c r="C25" s="35" t="s">
        <v>121</v>
      </c>
      <c r="D25" s="9"/>
      <c r="E25" s="153"/>
      <c r="F25" s="153"/>
      <c r="G25" s="153"/>
      <c r="H25" s="153"/>
      <c r="I25" s="153"/>
      <c r="J25" s="153"/>
      <c r="K25" s="153"/>
      <c r="L25" s="143"/>
      <c r="M25" s="1"/>
      <c r="N25" s="1"/>
      <c r="O25" s="1"/>
    </row>
    <row r="26" spans="1:15" ht="68.25" customHeight="1">
      <c r="A26" s="73" t="s">
        <v>559</v>
      </c>
      <c r="B26" s="7"/>
      <c r="C26" s="70" t="s">
        <v>247</v>
      </c>
      <c r="D26" s="9" t="s">
        <v>117</v>
      </c>
      <c r="E26" s="153">
        <f aca="true" t="shared" si="1" ref="E26:F28">+G26+K26</f>
        <v>249</v>
      </c>
      <c r="F26" s="153">
        <f t="shared" si="1"/>
        <v>248.8</v>
      </c>
      <c r="G26" s="153"/>
      <c r="H26" s="153"/>
      <c r="I26" s="153"/>
      <c r="J26" s="153"/>
      <c r="K26" s="153">
        <f>100+168-19</f>
        <v>249</v>
      </c>
      <c r="L26" s="143">
        <v>248.8</v>
      </c>
      <c r="M26" s="1"/>
      <c r="N26" s="1"/>
      <c r="O26" s="1"/>
    </row>
    <row r="27" spans="1:16" ht="19.5" customHeight="1">
      <c r="A27" s="55">
        <v>9</v>
      </c>
      <c r="B27" s="7" t="s">
        <v>21</v>
      </c>
      <c r="C27" s="10" t="s">
        <v>22</v>
      </c>
      <c r="D27" s="9"/>
      <c r="E27" s="155">
        <f t="shared" si="1"/>
        <v>284</v>
      </c>
      <c r="F27" s="155">
        <f t="shared" si="1"/>
        <v>284</v>
      </c>
      <c r="G27" s="155">
        <f aca="true" t="shared" si="2" ref="G27:L28">+G28</f>
        <v>0</v>
      </c>
      <c r="H27" s="155"/>
      <c r="I27" s="155">
        <f t="shared" si="2"/>
        <v>0</v>
      </c>
      <c r="J27" s="155"/>
      <c r="K27" s="155">
        <f t="shared" si="2"/>
        <v>284</v>
      </c>
      <c r="L27" s="155">
        <f t="shared" si="2"/>
        <v>284</v>
      </c>
      <c r="M27" s="1"/>
      <c r="N27" s="1"/>
      <c r="O27" s="1"/>
      <c r="P27" s="19"/>
    </row>
    <row r="28" spans="1:16" ht="35.25" customHeight="1">
      <c r="A28" s="55">
        <v>10</v>
      </c>
      <c r="B28" s="7"/>
      <c r="C28" s="21" t="s">
        <v>404</v>
      </c>
      <c r="D28" s="9"/>
      <c r="E28" s="154">
        <f t="shared" si="1"/>
        <v>284</v>
      </c>
      <c r="F28" s="154">
        <f t="shared" si="1"/>
        <v>284</v>
      </c>
      <c r="G28" s="154">
        <f t="shared" si="2"/>
        <v>0</v>
      </c>
      <c r="H28" s="154"/>
      <c r="I28" s="154">
        <f t="shared" si="2"/>
        <v>0</v>
      </c>
      <c r="J28" s="154"/>
      <c r="K28" s="154">
        <f t="shared" si="2"/>
        <v>284</v>
      </c>
      <c r="L28" s="154">
        <f t="shared" si="2"/>
        <v>284</v>
      </c>
      <c r="M28" s="1"/>
      <c r="N28" s="1"/>
      <c r="O28" s="1"/>
      <c r="P28" s="19"/>
    </row>
    <row r="29" spans="1:15" ht="12" customHeight="1">
      <c r="A29" s="55">
        <v>11</v>
      </c>
      <c r="B29" s="7"/>
      <c r="C29" s="35" t="s">
        <v>202</v>
      </c>
      <c r="D29" s="9"/>
      <c r="E29" s="153">
        <f>SUM(E31)</f>
        <v>284</v>
      </c>
      <c r="F29" s="153">
        <f>SUM(F31)</f>
        <v>284</v>
      </c>
      <c r="G29" s="153">
        <f>+G31</f>
        <v>0</v>
      </c>
      <c r="H29" s="153"/>
      <c r="I29" s="153">
        <f>+I31</f>
        <v>0</v>
      </c>
      <c r="J29" s="153"/>
      <c r="K29" s="153">
        <f>+K31</f>
        <v>284</v>
      </c>
      <c r="L29" s="153">
        <f>+L31</f>
        <v>284</v>
      </c>
      <c r="M29" s="1"/>
      <c r="N29" s="1"/>
      <c r="O29" s="1"/>
    </row>
    <row r="30" spans="1:15" ht="12" customHeight="1">
      <c r="A30" s="55"/>
      <c r="B30" s="7"/>
      <c r="C30" s="35" t="s">
        <v>121</v>
      </c>
      <c r="D30" s="9"/>
      <c r="E30" s="153"/>
      <c r="F30" s="153"/>
      <c r="G30" s="153"/>
      <c r="H30" s="153"/>
      <c r="I30" s="153"/>
      <c r="J30" s="153"/>
      <c r="K30" s="153"/>
      <c r="L30" s="143"/>
      <c r="M30" s="1"/>
      <c r="N30" s="1"/>
      <c r="O30" s="1"/>
    </row>
    <row r="31" spans="1:15" ht="30" customHeight="1">
      <c r="A31" s="73" t="s">
        <v>44</v>
      </c>
      <c r="B31" s="7"/>
      <c r="C31" s="70" t="s">
        <v>634</v>
      </c>
      <c r="D31" s="9" t="s">
        <v>120</v>
      </c>
      <c r="E31" s="153">
        <f aca="true" t="shared" si="3" ref="E31:F33">+G31+K31</f>
        <v>284</v>
      </c>
      <c r="F31" s="153">
        <f t="shared" si="3"/>
        <v>284</v>
      </c>
      <c r="G31" s="153"/>
      <c r="H31" s="153"/>
      <c r="I31" s="153"/>
      <c r="J31" s="153"/>
      <c r="K31" s="153">
        <f>120+164</f>
        <v>284</v>
      </c>
      <c r="L31" s="143">
        <v>284</v>
      </c>
      <c r="M31" s="1"/>
      <c r="N31" s="1"/>
      <c r="O31" s="1"/>
    </row>
    <row r="32" spans="1:15" ht="20.25" customHeight="1">
      <c r="A32" s="55">
        <v>12</v>
      </c>
      <c r="B32" s="7" t="s">
        <v>129</v>
      </c>
      <c r="C32" s="10" t="s">
        <v>130</v>
      </c>
      <c r="D32" s="9"/>
      <c r="E32" s="155">
        <f t="shared" si="3"/>
        <v>967</v>
      </c>
      <c r="F32" s="155">
        <f t="shared" si="3"/>
        <v>967</v>
      </c>
      <c r="G32" s="155">
        <f aca="true" t="shared" si="4" ref="G32:L33">+G33</f>
        <v>0</v>
      </c>
      <c r="H32" s="155"/>
      <c r="I32" s="155">
        <f t="shared" si="4"/>
        <v>0</v>
      </c>
      <c r="J32" s="155"/>
      <c r="K32" s="155">
        <f t="shared" si="4"/>
        <v>967</v>
      </c>
      <c r="L32" s="155">
        <f t="shared" si="4"/>
        <v>967</v>
      </c>
      <c r="M32" s="1"/>
      <c r="N32" s="1"/>
      <c r="O32" s="1"/>
    </row>
    <row r="33" spans="1:15" ht="39.75" customHeight="1">
      <c r="A33" s="55">
        <v>13</v>
      </c>
      <c r="B33" s="7"/>
      <c r="C33" s="21" t="s">
        <v>404</v>
      </c>
      <c r="D33" s="9"/>
      <c r="E33" s="154">
        <f t="shared" si="3"/>
        <v>967</v>
      </c>
      <c r="F33" s="154">
        <f t="shared" si="3"/>
        <v>967</v>
      </c>
      <c r="G33" s="154">
        <f t="shared" si="4"/>
        <v>0</v>
      </c>
      <c r="H33" s="154"/>
      <c r="I33" s="154">
        <f t="shared" si="4"/>
        <v>0</v>
      </c>
      <c r="J33" s="154"/>
      <c r="K33" s="154">
        <f t="shared" si="4"/>
        <v>967</v>
      </c>
      <c r="L33" s="154">
        <f t="shared" si="4"/>
        <v>967</v>
      </c>
      <c r="M33" s="1"/>
      <c r="N33" s="1"/>
      <c r="O33" s="1"/>
    </row>
    <row r="34" spans="1:15" ht="18" customHeight="1">
      <c r="A34" s="55">
        <v>14</v>
      </c>
      <c r="B34" s="7"/>
      <c r="C34" s="35" t="s">
        <v>202</v>
      </c>
      <c r="D34" s="9"/>
      <c r="E34" s="153">
        <f>SUM(E36:E36)</f>
        <v>967</v>
      </c>
      <c r="F34" s="153">
        <f>SUM(F36:F36)</f>
        <v>967</v>
      </c>
      <c r="G34" s="153">
        <f>+G36</f>
        <v>0</v>
      </c>
      <c r="H34" s="153"/>
      <c r="I34" s="153">
        <f>+I36</f>
        <v>0</v>
      </c>
      <c r="J34" s="153"/>
      <c r="K34" s="153">
        <f>+K36</f>
        <v>967</v>
      </c>
      <c r="L34" s="153">
        <f>+L36</f>
        <v>967</v>
      </c>
      <c r="M34" s="1"/>
      <c r="N34" s="1"/>
      <c r="O34" s="1"/>
    </row>
    <row r="35" spans="1:15" ht="13.5" customHeight="1">
      <c r="A35" s="85"/>
      <c r="B35" s="7"/>
      <c r="C35" s="35" t="s">
        <v>121</v>
      </c>
      <c r="D35" s="9"/>
      <c r="E35" s="153"/>
      <c r="F35" s="153"/>
      <c r="G35" s="153"/>
      <c r="H35" s="153"/>
      <c r="I35" s="153"/>
      <c r="J35" s="153"/>
      <c r="K35" s="153"/>
      <c r="L35" s="143"/>
      <c r="M35" s="1"/>
      <c r="N35" s="1"/>
      <c r="O35" s="1"/>
    </row>
    <row r="36" spans="1:15" ht="54" customHeight="1">
      <c r="A36" s="85" t="s">
        <v>568</v>
      </c>
      <c r="B36" s="7"/>
      <c r="C36" s="115" t="s">
        <v>221</v>
      </c>
      <c r="D36" s="9" t="s">
        <v>132</v>
      </c>
      <c r="E36" s="153">
        <f aca="true" t="shared" si="5" ref="E36:F39">+G36+K36</f>
        <v>967</v>
      </c>
      <c r="F36" s="153">
        <f t="shared" si="5"/>
        <v>967</v>
      </c>
      <c r="G36" s="153"/>
      <c r="H36" s="153"/>
      <c r="I36" s="153"/>
      <c r="J36" s="153"/>
      <c r="K36" s="153">
        <f>280+687</f>
        <v>967</v>
      </c>
      <c r="L36" s="143">
        <v>967</v>
      </c>
      <c r="M36" s="1"/>
      <c r="N36" s="1"/>
      <c r="O36" s="1"/>
    </row>
    <row r="37" spans="1:15" ht="39" customHeight="1">
      <c r="A37" s="85" t="s">
        <v>428</v>
      </c>
      <c r="B37" s="7" t="s">
        <v>177</v>
      </c>
      <c r="C37" s="68" t="s">
        <v>178</v>
      </c>
      <c r="D37" s="9"/>
      <c r="E37" s="155">
        <f t="shared" si="5"/>
        <v>209</v>
      </c>
      <c r="F37" s="155">
        <f t="shared" si="5"/>
        <v>209</v>
      </c>
      <c r="G37" s="155">
        <f aca="true" t="shared" si="6" ref="G37:L38">+G38</f>
        <v>0</v>
      </c>
      <c r="H37" s="155"/>
      <c r="I37" s="155">
        <f t="shared" si="6"/>
        <v>0</v>
      </c>
      <c r="J37" s="155"/>
      <c r="K37" s="155">
        <f t="shared" si="6"/>
        <v>209</v>
      </c>
      <c r="L37" s="155">
        <f t="shared" si="6"/>
        <v>209</v>
      </c>
      <c r="M37" s="1"/>
      <c r="N37" s="1"/>
      <c r="O37" s="1"/>
    </row>
    <row r="38" spans="1:15" ht="33" customHeight="1">
      <c r="A38" s="85" t="s">
        <v>429</v>
      </c>
      <c r="B38" s="7"/>
      <c r="C38" s="21" t="s">
        <v>404</v>
      </c>
      <c r="D38" s="9"/>
      <c r="E38" s="153">
        <f t="shared" si="5"/>
        <v>209</v>
      </c>
      <c r="F38" s="153">
        <f t="shared" si="5"/>
        <v>209</v>
      </c>
      <c r="G38" s="153">
        <f t="shared" si="6"/>
        <v>0</v>
      </c>
      <c r="H38" s="153"/>
      <c r="I38" s="153">
        <f t="shared" si="6"/>
        <v>0</v>
      </c>
      <c r="J38" s="153"/>
      <c r="K38" s="153">
        <f t="shared" si="6"/>
        <v>209</v>
      </c>
      <c r="L38" s="153">
        <f t="shared" si="6"/>
        <v>209</v>
      </c>
      <c r="M38" s="1"/>
      <c r="N38" s="1"/>
      <c r="O38" s="1"/>
    </row>
    <row r="39" spans="1:15" ht="18" customHeight="1">
      <c r="A39" s="85" t="s">
        <v>430</v>
      </c>
      <c r="B39" s="7"/>
      <c r="C39" s="64" t="s">
        <v>202</v>
      </c>
      <c r="E39" s="153">
        <f t="shared" si="5"/>
        <v>209</v>
      </c>
      <c r="F39" s="153">
        <f t="shared" si="5"/>
        <v>209</v>
      </c>
      <c r="G39" s="153">
        <f>+G41</f>
        <v>0</v>
      </c>
      <c r="H39" s="153"/>
      <c r="I39" s="153">
        <f>+I41</f>
        <v>0</v>
      </c>
      <c r="J39" s="153"/>
      <c r="K39" s="153">
        <f>+K41</f>
        <v>209</v>
      </c>
      <c r="L39" s="153">
        <f>+L41</f>
        <v>209</v>
      </c>
      <c r="M39" s="1"/>
      <c r="N39" s="1"/>
      <c r="O39" s="1"/>
    </row>
    <row r="40" spans="1:15" ht="18" customHeight="1">
      <c r="A40" s="85"/>
      <c r="B40" s="7"/>
      <c r="C40" s="35" t="s">
        <v>121</v>
      </c>
      <c r="D40" s="9"/>
      <c r="E40" s="153"/>
      <c r="F40" s="153"/>
      <c r="G40" s="153"/>
      <c r="H40" s="153"/>
      <c r="I40" s="153"/>
      <c r="J40" s="153"/>
      <c r="K40" s="153"/>
      <c r="L40" s="143"/>
      <c r="M40" s="1"/>
      <c r="N40" s="1"/>
      <c r="O40" s="1"/>
    </row>
    <row r="41" spans="1:14" ht="31.5" customHeight="1">
      <c r="A41" s="85" t="s">
        <v>569</v>
      </c>
      <c r="B41" s="7"/>
      <c r="C41" s="70" t="s">
        <v>263</v>
      </c>
      <c r="D41" s="87" t="s">
        <v>207</v>
      </c>
      <c r="E41" s="153">
        <f aca="true" t="shared" si="7" ref="E41:F44">+G41+K41</f>
        <v>209</v>
      </c>
      <c r="F41" s="153">
        <f t="shared" si="7"/>
        <v>209</v>
      </c>
      <c r="G41" s="153"/>
      <c r="H41" s="153"/>
      <c r="I41" s="153"/>
      <c r="J41" s="153"/>
      <c r="K41" s="153">
        <v>209</v>
      </c>
      <c r="L41" s="143">
        <v>209</v>
      </c>
      <c r="M41" s="1"/>
      <c r="N41" s="1"/>
    </row>
    <row r="42" spans="1:15" ht="32.25" customHeight="1">
      <c r="A42" s="85" t="s">
        <v>257</v>
      </c>
      <c r="B42" s="7" t="s">
        <v>135</v>
      </c>
      <c r="C42" s="74" t="s">
        <v>136</v>
      </c>
      <c r="D42" s="9"/>
      <c r="E42" s="153">
        <f t="shared" si="7"/>
        <v>194.8</v>
      </c>
      <c r="F42" s="153">
        <f t="shared" si="7"/>
        <v>194.79999999999998</v>
      </c>
      <c r="G42" s="153">
        <f aca="true" t="shared" si="8" ref="G42:L43">+G43</f>
        <v>0</v>
      </c>
      <c r="H42" s="153"/>
      <c r="I42" s="153">
        <f t="shared" si="8"/>
        <v>0</v>
      </c>
      <c r="J42" s="153"/>
      <c r="K42" s="153">
        <f t="shared" si="8"/>
        <v>194.8</v>
      </c>
      <c r="L42" s="153">
        <f t="shared" si="8"/>
        <v>194.79999999999998</v>
      </c>
      <c r="M42" s="1"/>
      <c r="N42" s="1"/>
      <c r="O42" s="1"/>
    </row>
    <row r="43" spans="1:15" ht="33" customHeight="1">
      <c r="A43" s="85" t="s">
        <v>258</v>
      </c>
      <c r="B43" s="7"/>
      <c r="C43" s="21" t="s">
        <v>404</v>
      </c>
      <c r="D43" s="87"/>
      <c r="E43" s="153">
        <f t="shared" si="7"/>
        <v>194.8</v>
      </c>
      <c r="F43" s="153">
        <f t="shared" si="7"/>
        <v>194.79999999999998</v>
      </c>
      <c r="G43" s="153">
        <f t="shared" si="8"/>
        <v>0</v>
      </c>
      <c r="H43" s="153"/>
      <c r="I43" s="153">
        <f t="shared" si="8"/>
        <v>0</v>
      </c>
      <c r="J43" s="153"/>
      <c r="K43" s="153">
        <f t="shared" si="8"/>
        <v>194.8</v>
      </c>
      <c r="L43" s="153">
        <f t="shared" si="8"/>
        <v>194.79999999999998</v>
      </c>
      <c r="M43" s="1"/>
      <c r="N43" s="1"/>
      <c r="O43" s="1"/>
    </row>
    <row r="44" spans="1:15" ht="18" customHeight="1">
      <c r="A44" s="85" t="s">
        <v>259</v>
      </c>
      <c r="B44" s="7"/>
      <c r="C44" s="35" t="s">
        <v>202</v>
      </c>
      <c r="D44" s="87" t="s">
        <v>207</v>
      </c>
      <c r="E44" s="153">
        <f t="shared" si="7"/>
        <v>194.8</v>
      </c>
      <c r="F44" s="153">
        <f t="shared" si="7"/>
        <v>194.79999999999998</v>
      </c>
      <c r="G44" s="153">
        <f>+G46+G47</f>
        <v>0</v>
      </c>
      <c r="H44" s="153"/>
      <c r="I44" s="153">
        <f>+I46+I47</f>
        <v>0</v>
      </c>
      <c r="J44" s="153"/>
      <c r="K44" s="153">
        <f>+K46+K47</f>
        <v>194.8</v>
      </c>
      <c r="L44" s="153">
        <f>+L46+L47</f>
        <v>194.79999999999998</v>
      </c>
      <c r="M44" s="1"/>
      <c r="N44" s="1"/>
      <c r="O44" s="1"/>
    </row>
    <row r="45" spans="1:15" ht="18" customHeight="1">
      <c r="A45" s="85"/>
      <c r="B45" s="7"/>
      <c r="C45" s="35" t="s">
        <v>121</v>
      </c>
      <c r="D45" s="87"/>
      <c r="E45" s="153"/>
      <c r="F45" s="153"/>
      <c r="G45" s="153"/>
      <c r="H45" s="153"/>
      <c r="I45" s="153"/>
      <c r="J45" s="153"/>
      <c r="K45" s="153"/>
      <c r="L45" s="143"/>
      <c r="M45" s="1"/>
      <c r="N45" s="1"/>
      <c r="O45" s="1"/>
    </row>
    <row r="46" spans="1:17" ht="44.25" customHeight="1">
      <c r="A46" s="85" t="s">
        <v>584</v>
      </c>
      <c r="B46" s="7"/>
      <c r="C46" s="70" t="s">
        <v>426</v>
      </c>
      <c r="D46" s="87"/>
      <c r="E46" s="153">
        <f aca="true" t="shared" si="9" ref="E46:F48">+G46+K46</f>
        <v>182.1</v>
      </c>
      <c r="F46" s="153">
        <f t="shared" si="9"/>
        <v>182.1</v>
      </c>
      <c r="G46" s="153"/>
      <c r="H46" s="153"/>
      <c r="I46" s="153"/>
      <c r="J46" s="153"/>
      <c r="K46" s="153">
        <f>152.2+29.9</f>
        <v>182.1</v>
      </c>
      <c r="L46" s="143">
        <v>182.1</v>
      </c>
      <c r="M46" s="1"/>
      <c r="N46" s="1"/>
      <c r="O46" s="1"/>
      <c r="Q46" s="1"/>
    </row>
    <row r="47" spans="1:17" ht="54.75" customHeight="1">
      <c r="A47" s="85" t="s">
        <v>585</v>
      </c>
      <c r="B47" s="7"/>
      <c r="C47" s="70" t="s">
        <v>427</v>
      </c>
      <c r="D47" s="87"/>
      <c r="E47" s="153">
        <f t="shared" si="9"/>
        <v>12.700000000000003</v>
      </c>
      <c r="F47" s="153">
        <f t="shared" si="9"/>
        <v>12.7</v>
      </c>
      <c r="G47" s="153"/>
      <c r="H47" s="153"/>
      <c r="I47" s="153"/>
      <c r="J47" s="153"/>
      <c r="K47" s="153">
        <f>42.6-29.9</f>
        <v>12.700000000000003</v>
      </c>
      <c r="L47" s="143">
        <v>12.7</v>
      </c>
      <c r="M47" s="1"/>
      <c r="N47" s="1"/>
      <c r="Q47" s="1"/>
    </row>
    <row r="48" spans="1:15" ht="12.75" customHeight="1">
      <c r="A48" s="55">
        <v>21</v>
      </c>
      <c r="B48" s="84"/>
      <c r="C48" s="49" t="s">
        <v>20</v>
      </c>
      <c r="D48" s="87"/>
      <c r="E48" s="79">
        <f t="shared" si="9"/>
        <v>2550.4</v>
      </c>
      <c r="F48" s="79">
        <f t="shared" si="9"/>
        <v>2550.2000000000003</v>
      </c>
      <c r="G48" s="79">
        <f>+G12+G22+G27+G32+G37+G42</f>
        <v>0</v>
      </c>
      <c r="H48" s="79">
        <v>0</v>
      </c>
      <c r="I48" s="79">
        <f>+I12+I22+I27+I32+I37+I42</f>
        <v>0</v>
      </c>
      <c r="J48" s="79">
        <v>0</v>
      </c>
      <c r="K48" s="79">
        <f>+K12+K22+K27+K32+K37+K42</f>
        <v>2550.4</v>
      </c>
      <c r="L48" s="79">
        <f>+L12+L22+L27+L32+L37+L42</f>
        <v>2550.2000000000003</v>
      </c>
      <c r="M48" s="1"/>
      <c r="N48" s="1"/>
      <c r="O48" s="1"/>
    </row>
    <row r="49" spans="3:11" ht="12.75">
      <c r="C49" s="46" t="s">
        <v>194</v>
      </c>
      <c r="D49" s="47"/>
      <c r="E49" s="16"/>
      <c r="F49" s="16"/>
      <c r="G49" s="34"/>
      <c r="H49" s="34"/>
      <c r="I49" s="34"/>
      <c r="J49" s="34"/>
      <c r="K49" s="34"/>
    </row>
    <row r="50" spans="3:11" ht="12.75">
      <c r="C50" s="48"/>
      <c r="D50" s="47"/>
      <c r="E50" s="16"/>
      <c r="F50" s="16"/>
      <c r="G50" s="16"/>
      <c r="H50" s="16"/>
      <c r="I50" s="16"/>
      <c r="J50" s="16"/>
      <c r="K50" s="16"/>
    </row>
    <row r="51" spans="5:11" ht="12.75">
      <c r="E51" s="16"/>
      <c r="F51" s="16"/>
      <c r="G51" s="16"/>
      <c r="H51" s="16"/>
      <c r="I51" s="16"/>
      <c r="J51" s="16"/>
      <c r="K51" s="16"/>
    </row>
    <row r="52" spans="5:11" ht="12.75">
      <c r="E52" s="16"/>
      <c r="F52" s="16"/>
      <c r="G52" s="1"/>
      <c r="H52" s="1"/>
      <c r="I52" s="1"/>
      <c r="J52" s="1"/>
      <c r="K52" s="1"/>
    </row>
    <row r="53" spans="4:11" ht="12.75">
      <c r="D53" s="2"/>
      <c r="E53" s="62"/>
      <c r="F53" s="62"/>
      <c r="G53" s="1"/>
      <c r="H53" s="1"/>
      <c r="I53" s="1"/>
      <c r="J53" s="1"/>
      <c r="K53" s="1"/>
    </row>
    <row r="54" spans="4:11" ht="12.75">
      <c r="D54" s="2"/>
      <c r="E54" s="62"/>
      <c r="F54" s="62"/>
      <c r="G54" s="1"/>
      <c r="H54" s="1"/>
      <c r="I54" s="1"/>
      <c r="J54" s="1"/>
      <c r="K54" s="1"/>
    </row>
    <row r="55" spans="4:11" ht="12.75">
      <c r="D55" s="2"/>
      <c r="E55" s="62"/>
      <c r="F55" s="62"/>
      <c r="G55" s="1"/>
      <c r="H55" s="1"/>
      <c r="I55" s="1"/>
      <c r="J55" s="1"/>
      <c r="K55" s="1"/>
    </row>
    <row r="56" spans="4:11" ht="12.75">
      <c r="D56" s="2"/>
      <c r="E56" s="1"/>
      <c r="F56" s="1"/>
      <c r="G56" s="1"/>
      <c r="H56" s="1"/>
      <c r="I56" s="1"/>
      <c r="J56" s="1"/>
      <c r="K56" s="1"/>
    </row>
    <row r="57" spans="3:11" ht="12.75">
      <c r="C57" s="2"/>
      <c r="D57" s="2"/>
      <c r="E57" s="16"/>
      <c r="F57" s="16"/>
      <c r="G57" s="16"/>
      <c r="H57" s="16"/>
      <c r="I57" s="16"/>
      <c r="J57" s="16"/>
      <c r="K57" s="16"/>
    </row>
    <row r="58" spans="4:11" ht="12.75">
      <c r="D58" s="2"/>
      <c r="E58" s="16"/>
      <c r="F58" s="16"/>
      <c r="G58" s="2"/>
      <c r="H58" s="2"/>
      <c r="I58" s="2"/>
      <c r="J58" s="2"/>
      <c r="K58" s="2"/>
    </row>
    <row r="59" spans="4:11" ht="12.75">
      <c r="D59" s="2"/>
      <c r="E59" s="16"/>
      <c r="F59" s="16"/>
      <c r="G59" s="1"/>
      <c r="H59" s="1"/>
      <c r="I59" s="1"/>
      <c r="J59" s="1"/>
      <c r="K59" s="1"/>
    </row>
    <row r="60" spans="4:11" ht="12.75">
      <c r="D60" s="2"/>
      <c r="E60" s="1"/>
      <c r="F60" s="1"/>
      <c r="G60" s="1"/>
      <c r="H60" s="1"/>
      <c r="I60" s="1"/>
      <c r="J60" s="1"/>
      <c r="K60" s="1"/>
    </row>
    <row r="61" spans="4:11" ht="12.75">
      <c r="D61" s="2"/>
      <c r="E61" s="2"/>
      <c r="F61" s="2"/>
      <c r="G61" s="2"/>
      <c r="H61" s="2"/>
      <c r="I61" s="2"/>
      <c r="J61" s="2"/>
      <c r="K61" s="2"/>
    </row>
    <row r="62" spans="4:11" ht="12.75">
      <c r="D62" s="2"/>
      <c r="E62" s="1"/>
      <c r="F62" s="1"/>
      <c r="G62" s="1"/>
      <c r="H62" s="1"/>
      <c r="I62" s="1"/>
      <c r="J62" s="1"/>
      <c r="K62" s="1"/>
    </row>
    <row r="63" spans="4:11" ht="12.75">
      <c r="D63" s="2"/>
      <c r="E63" s="2"/>
      <c r="F63" s="2"/>
      <c r="G63" s="2"/>
      <c r="H63" s="2"/>
      <c r="I63" s="2"/>
      <c r="J63" s="2"/>
      <c r="K63" s="2"/>
    </row>
    <row r="64" spans="4:11" ht="12.75">
      <c r="D64" s="2"/>
      <c r="E64" s="2"/>
      <c r="F64" s="2"/>
      <c r="G64" s="2"/>
      <c r="H64" s="2"/>
      <c r="I64" s="2"/>
      <c r="J64" s="2"/>
      <c r="K64" s="2"/>
    </row>
  </sheetData>
  <sheetProtection/>
  <mergeCells count="21">
    <mergeCell ref="E7:F8"/>
    <mergeCell ref="G8:J8"/>
    <mergeCell ref="K8:L8"/>
    <mergeCell ref="E9:E10"/>
    <mergeCell ref="F9:F10"/>
    <mergeCell ref="E4:L4"/>
    <mergeCell ref="G9:G10"/>
    <mergeCell ref="H9:H10"/>
    <mergeCell ref="I9:J9"/>
    <mergeCell ref="K9:K10"/>
    <mergeCell ref="L9:L10"/>
    <mergeCell ref="C3:L3"/>
    <mergeCell ref="C2:L2"/>
    <mergeCell ref="K6:L6"/>
    <mergeCell ref="C1:K1"/>
    <mergeCell ref="A5:K5"/>
    <mergeCell ref="G7:L7"/>
    <mergeCell ref="A7:A10"/>
    <mergeCell ref="B7:B10"/>
    <mergeCell ref="C7:C10"/>
    <mergeCell ref="D7:D10"/>
  </mergeCells>
  <printOptions/>
  <pageMargins left="0.5118110236220472" right="0" top="0.3937007874015748" bottom="0.3937007874015748"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Q123"/>
  <sheetViews>
    <sheetView zoomScalePageLayoutView="0" workbookViewId="0" topLeftCell="A1">
      <selection activeCell="N15" sqref="N15"/>
    </sheetView>
  </sheetViews>
  <sheetFormatPr defaultColWidth="9.140625" defaultRowHeight="12.75"/>
  <cols>
    <col min="1" max="1" width="5.57421875" style="2" customWidth="1"/>
    <col min="2" max="2" width="4.421875" style="2" customWidth="1"/>
    <col min="3" max="3" width="45.57421875" style="2" customWidth="1"/>
    <col min="4" max="4" width="10.140625" style="5" customWidth="1"/>
    <col min="5" max="6" width="8.57421875" style="5" customWidth="1"/>
    <col min="7" max="8" width="8.8515625" style="5" customWidth="1"/>
    <col min="9" max="10" width="8.421875" style="5" customWidth="1"/>
    <col min="11" max="11" width="8.140625" style="5" customWidth="1"/>
    <col min="12" max="16" width="9.140625" style="2" customWidth="1"/>
    <col min="17" max="17" width="36.57421875" style="2" customWidth="1"/>
    <col min="18" max="16384" width="9.140625" style="2" customWidth="1"/>
  </cols>
  <sheetData>
    <row r="1" spans="3:12" ht="15.75">
      <c r="C1" s="216" t="s">
        <v>654</v>
      </c>
      <c r="D1" s="217"/>
      <c r="E1" s="217"/>
      <c r="F1" s="217"/>
      <c r="G1" s="217"/>
      <c r="H1" s="217"/>
      <c r="I1" s="217"/>
      <c r="J1" s="217"/>
      <c r="K1" s="217"/>
      <c r="L1" s="244"/>
    </row>
    <row r="2" spans="5:12" ht="15.75">
      <c r="E2" s="26"/>
      <c r="F2" s="26"/>
      <c r="G2" s="26"/>
      <c r="H2" s="26"/>
      <c r="I2" s="216" t="s">
        <v>656</v>
      </c>
      <c r="J2" s="217"/>
      <c r="K2" s="217"/>
      <c r="L2" s="218"/>
    </row>
    <row r="3" spans="5:12" ht="11.25" customHeight="1">
      <c r="E3" s="26"/>
      <c r="F3" s="26"/>
      <c r="G3" s="26"/>
      <c r="H3" s="26"/>
      <c r="I3" s="26"/>
      <c r="J3" s="26"/>
      <c r="K3" s="216" t="s">
        <v>662</v>
      </c>
      <c r="L3" s="218"/>
    </row>
    <row r="4" spans="1:11" ht="13.5" customHeight="1">
      <c r="A4" s="246" t="s">
        <v>402</v>
      </c>
      <c r="B4" s="246"/>
      <c r="C4" s="246"/>
      <c r="D4" s="246"/>
      <c r="E4" s="246"/>
      <c r="F4" s="246"/>
      <c r="G4" s="246"/>
      <c r="H4" s="246"/>
      <c r="I4" s="246"/>
      <c r="J4" s="246"/>
      <c r="K4" s="246"/>
    </row>
    <row r="5" spans="10:12" ht="10.5" customHeight="1">
      <c r="J5" s="219" t="s">
        <v>256</v>
      </c>
      <c r="K5" s="220"/>
      <c r="L5" s="220"/>
    </row>
    <row r="6" spans="1:12" ht="9.75" customHeight="1">
      <c r="A6" s="234" t="s">
        <v>0</v>
      </c>
      <c r="B6" s="234" t="s">
        <v>649</v>
      </c>
      <c r="C6" s="234" t="s">
        <v>16</v>
      </c>
      <c r="D6" s="234" t="s">
        <v>100</v>
      </c>
      <c r="E6" s="227" t="s">
        <v>17</v>
      </c>
      <c r="F6" s="228"/>
      <c r="G6" s="221" t="s">
        <v>18</v>
      </c>
      <c r="H6" s="226"/>
      <c r="I6" s="226"/>
      <c r="J6" s="226"/>
      <c r="K6" s="226"/>
      <c r="L6" s="222"/>
    </row>
    <row r="7" spans="1:12" ht="12.75" customHeight="1">
      <c r="A7" s="234"/>
      <c r="B7" s="234"/>
      <c r="C7" s="234"/>
      <c r="D7" s="234"/>
      <c r="E7" s="229"/>
      <c r="F7" s="230"/>
      <c r="G7" s="221" t="s">
        <v>156</v>
      </c>
      <c r="H7" s="226"/>
      <c r="I7" s="226"/>
      <c r="J7" s="222"/>
      <c r="K7" s="221" t="s">
        <v>29</v>
      </c>
      <c r="L7" s="222"/>
    </row>
    <row r="8" spans="1:12" ht="24.75" customHeight="1">
      <c r="A8" s="234"/>
      <c r="B8" s="234"/>
      <c r="C8" s="234"/>
      <c r="D8" s="234"/>
      <c r="E8" s="223" t="s">
        <v>650</v>
      </c>
      <c r="F8" s="223" t="s">
        <v>651</v>
      </c>
      <c r="G8" s="223" t="s">
        <v>650</v>
      </c>
      <c r="H8" s="223" t="s">
        <v>651</v>
      </c>
      <c r="I8" s="221" t="s">
        <v>30</v>
      </c>
      <c r="J8" s="222"/>
      <c r="K8" s="223" t="s">
        <v>650</v>
      </c>
      <c r="L8" s="223" t="s">
        <v>651</v>
      </c>
    </row>
    <row r="9" spans="1:12" ht="13.5" customHeight="1">
      <c r="A9" s="234"/>
      <c r="B9" s="234"/>
      <c r="C9" s="234"/>
      <c r="D9" s="234"/>
      <c r="E9" s="224"/>
      <c r="F9" s="224"/>
      <c r="G9" s="224"/>
      <c r="H9" s="224"/>
      <c r="I9" s="42" t="s">
        <v>650</v>
      </c>
      <c r="J9" s="6" t="s">
        <v>651</v>
      </c>
      <c r="K9" s="224"/>
      <c r="L9" s="224"/>
    </row>
    <row r="10" spans="1:12" ht="9.75" customHeight="1">
      <c r="A10" s="6">
        <v>1</v>
      </c>
      <c r="B10" s="6">
        <v>2</v>
      </c>
      <c r="C10" s="6">
        <v>3</v>
      </c>
      <c r="D10" s="6">
        <v>4</v>
      </c>
      <c r="E10" s="6">
        <v>5</v>
      </c>
      <c r="F10" s="6">
        <v>6</v>
      </c>
      <c r="G10" s="6">
        <v>7</v>
      </c>
      <c r="H10" s="6">
        <v>8</v>
      </c>
      <c r="I10" s="6">
        <v>9</v>
      </c>
      <c r="J10" s="6">
        <v>10</v>
      </c>
      <c r="K10" s="6">
        <v>11</v>
      </c>
      <c r="L10" s="31">
        <v>12</v>
      </c>
    </row>
    <row r="11" spans="1:15" ht="12.75">
      <c r="A11" s="54">
        <v>1</v>
      </c>
      <c r="B11" s="6"/>
      <c r="C11" s="42" t="s">
        <v>209</v>
      </c>
      <c r="D11" s="53"/>
      <c r="E11" s="117">
        <f aca="true" t="shared" si="0" ref="E11:F13">+G11+K11</f>
        <v>1002.4</v>
      </c>
      <c r="F11" s="117">
        <f t="shared" si="0"/>
        <v>443</v>
      </c>
      <c r="G11" s="117">
        <f>+G12+G19+G42+G23+G29+G34+G36</f>
        <v>280.4</v>
      </c>
      <c r="H11" s="117">
        <f>+H12+H19+H42+H23+H29+H34+H36</f>
        <v>241.3</v>
      </c>
      <c r="I11" s="117">
        <f>+I12+I19+I42+I23+I29+I34+I36</f>
        <v>0</v>
      </c>
      <c r="J11" s="117">
        <v>0</v>
      </c>
      <c r="K11" s="117">
        <f>+K12+K19+K42+K23+K29+K34+K36</f>
        <v>722</v>
      </c>
      <c r="L11" s="117">
        <f>+L12+L19+L42+L23+L29+L34+L36</f>
        <v>201.70000000000002</v>
      </c>
      <c r="M11" s="1"/>
      <c r="N11" s="1"/>
      <c r="O11" s="1"/>
    </row>
    <row r="12" spans="1:15" ht="12.75">
      <c r="A12" s="54">
        <v>2</v>
      </c>
      <c r="B12" s="7" t="s">
        <v>101</v>
      </c>
      <c r="C12" s="50" t="s">
        <v>102</v>
      </c>
      <c r="D12" s="53"/>
      <c r="E12" s="117">
        <f t="shared" si="0"/>
        <v>220</v>
      </c>
      <c r="F12" s="117">
        <f t="shared" si="0"/>
        <v>172.20000000000002</v>
      </c>
      <c r="G12" s="117">
        <f>+G13</f>
        <v>0</v>
      </c>
      <c r="H12" s="117">
        <f>+H13</f>
        <v>0</v>
      </c>
      <c r="I12" s="117">
        <f>+I13</f>
        <v>0</v>
      </c>
      <c r="J12" s="117">
        <v>0</v>
      </c>
      <c r="K12" s="117">
        <f>+K13</f>
        <v>220</v>
      </c>
      <c r="L12" s="117">
        <f>+L13</f>
        <v>172.20000000000002</v>
      </c>
      <c r="M12" s="1"/>
      <c r="N12" s="1"/>
      <c r="O12" s="1"/>
    </row>
    <row r="13" spans="1:15" ht="12.75">
      <c r="A13" s="54">
        <v>3</v>
      </c>
      <c r="B13" s="7"/>
      <c r="C13" s="64" t="s">
        <v>108</v>
      </c>
      <c r="D13" s="53"/>
      <c r="E13" s="116">
        <f t="shared" si="0"/>
        <v>220</v>
      </c>
      <c r="F13" s="116">
        <f t="shared" si="0"/>
        <v>172.20000000000002</v>
      </c>
      <c r="G13" s="116"/>
      <c r="H13" s="116"/>
      <c r="I13" s="116"/>
      <c r="J13" s="116"/>
      <c r="K13" s="116">
        <f>+K15</f>
        <v>220</v>
      </c>
      <c r="L13" s="116">
        <f>+L15</f>
        <v>172.20000000000002</v>
      </c>
      <c r="M13" s="1"/>
      <c r="N13" s="1"/>
      <c r="O13" s="1"/>
    </row>
    <row r="14" spans="1:15" ht="12.75">
      <c r="A14" s="54"/>
      <c r="B14" s="7"/>
      <c r="C14" s="41" t="s">
        <v>109</v>
      </c>
      <c r="D14" s="53"/>
      <c r="E14" s="117"/>
      <c r="F14" s="117"/>
      <c r="G14" s="117"/>
      <c r="H14" s="117"/>
      <c r="I14" s="117"/>
      <c r="J14" s="117"/>
      <c r="K14" s="117"/>
      <c r="L14" s="143"/>
      <c r="M14" s="1"/>
      <c r="N14" s="1"/>
      <c r="O14" s="1"/>
    </row>
    <row r="15" spans="1:16" ht="38.25">
      <c r="A15" s="54" t="s">
        <v>566</v>
      </c>
      <c r="B15" s="6"/>
      <c r="C15" s="67" t="s">
        <v>309</v>
      </c>
      <c r="D15" s="53"/>
      <c r="E15" s="116">
        <f aca="true" t="shared" si="1" ref="E15:F18">+G15+K15</f>
        <v>220</v>
      </c>
      <c r="F15" s="116">
        <f>+H15+L15</f>
        <v>172.20000000000002</v>
      </c>
      <c r="G15" s="116"/>
      <c r="H15" s="116"/>
      <c r="I15" s="116"/>
      <c r="J15" s="116"/>
      <c r="K15" s="116">
        <f>+K16+K17+K18</f>
        <v>220</v>
      </c>
      <c r="L15" s="116">
        <f>+L16+L17+L18</f>
        <v>172.20000000000002</v>
      </c>
      <c r="M15" s="1"/>
      <c r="N15" s="1"/>
      <c r="O15" s="1"/>
      <c r="P15" s="76"/>
    </row>
    <row r="16" spans="1:17" ht="31.5" customHeight="1">
      <c r="A16" s="54" t="s">
        <v>570</v>
      </c>
      <c r="B16" s="6"/>
      <c r="C16" s="67" t="s">
        <v>417</v>
      </c>
      <c r="D16" s="9" t="s">
        <v>105</v>
      </c>
      <c r="E16" s="116">
        <f t="shared" si="1"/>
        <v>60</v>
      </c>
      <c r="F16" s="116">
        <f t="shared" si="1"/>
        <v>56.4</v>
      </c>
      <c r="G16" s="116"/>
      <c r="H16" s="116"/>
      <c r="I16" s="116"/>
      <c r="J16" s="116"/>
      <c r="K16" s="116">
        <v>60</v>
      </c>
      <c r="L16" s="143">
        <v>56.4</v>
      </c>
      <c r="M16" s="1"/>
      <c r="N16" s="1"/>
      <c r="O16" s="1"/>
      <c r="Q16" s="165"/>
    </row>
    <row r="17" spans="1:17" ht="30.75" customHeight="1">
      <c r="A17" s="54" t="s">
        <v>571</v>
      </c>
      <c r="B17" s="6"/>
      <c r="C17" s="67" t="s">
        <v>431</v>
      </c>
      <c r="D17" s="9" t="s">
        <v>105</v>
      </c>
      <c r="E17" s="116">
        <f t="shared" si="1"/>
        <v>120</v>
      </c>
      <c r="F17" s="116">
        <f t="shared" si="1"/>
        <v>76.9</v>
      </c>
      <c r="G17" s="116"/>
      <c r="H17" s="116"/>
      <c r="I17" s="116"/>
      <c r="J17" s="116"/>
      <c r="K17" s="116">
        <v>120</v>
      </c>
      <c r="L17" s="143">
        <v>76.9</v>
      </c>
      <c r="M17" s="1"/>
      <c r="N17" s="1"/>
      <c r="O17" s="1"/>
      <c r="Q17" s="165"/>
    </row>
    <row r="18" spans="1:17" ht="30.75" customHeight="1">
      <c r="A18" s="54" t="s">
        <v>432</v>
      </c>
      <c r="B18" s="6"/>
      <c r="C18" s="67" t="s">
        <v>433</v>
      </c>
      <c r="D18" s="9" t="s">
        <v>106</v>
      </c>
      <c r="E18" s="116">
        <f t="shared" si="1"/>
        <v>40</v>
      </c>
      <c r="F18" s="116">
        <f t="shared" si="1"/>
        <v>38.9</v>
      </c>
      <c r="G18" s="116"/>
      <c r="H18" s="116"/>
      <c r="I18" s="116"/>
      <c r="J18" s="116"/>
      <c r="K18" s="116">
        <v>40</v>
      </c>
      <c r="L18" s="143">
        <v>38.9</v>
      </c>
      <c r="M18" s="1"/>
      <c r="N18" s="1"/>
      <c r="O18" s="1"/>
      <c r="Q18" s="165"/>
    </row>
    <row r="19" spans="1:15" ht="12.75">
      <c r="A19" s="54">
        <v>4</v>
      </c>
      <c r="B19" s="7" t="s">
        <v>112</v>
      </c>
      <c r="C19" s="10" t="s">
        <v>113</v>
      </c>
      <c r="D19" s="53"/>
      <c r="E19" s="117">
        <f>+E20</f>
        <v>2</v>
      </c>
      <c r="F19" s="117">
        <f>+F20</f>
        <v>2</v>
      </c>
      <c r="G19" s="117">
        <f>+G20</f>
        <v>2</v>
      </c>
      <c r="H19" s="117">
        <f>+H20</f>
        <v>2</v>
      </c>
      <c r="I19" s="117">
        <f>+I20</f>
        <v>0</v>
      </c>
      <c r="J19" s="117">
        <v>0</v>
      </c>
      <c r="K19" s="117">
        <f>+K20</f>
        <v>0</v>
      </c>
      <c r="L19" s="157">
        <v>0</v>
      </c>
      <c r="M19" s="1"/>
      <c r="N19" s="1"/>
      <c r="O19" s="1"/>
    </row>
    <row r="20" spans="1:15" ht="12.75">
      <c r="A20" s="54">
        <v>5</v>
      </c>
      <c r="B20" s="6"/>
      <c r="C20" s="64" t="s">
        <v>108</v>
      </c>
      <c r="D20" s="53"/>
      <c r="E20" s="116">
        <f>+E22</f>
        <v>2</v>
      </c>
      <c r="F20" s="116">
        <f>+F22</f>
        <v>2</v>
      </c>
      <c r="G20" s="116">
        <f>+G22</f>
        <v>2</v>
      </c>
      <c r="H20" s="116">
        <f>+H22</f>
        <v>2</v>
      </c>
      <c r="I20" s="116"/>
      <c r="J20" s="116"/>
      <c r="K20" s="116"/>
      <c r="L20" s="143"/>
      <c r="M20" s="1"/>
      <c r="N20" s="1"/>
      <c r="O20" s="1"/>
    </row>
    <row r="21" spans="1:15" ht="12.75">
      <c r="A21" s="54"/>
      <c r="B21" s="6"/>
      <c r="C21" s="38" t="s">
        <v>109</v>
      </c>
      <c r="D21" s="53"/>
      <c r="E21" s="116"/>
      <c r="F21" s="116"/>
      <c r="G21" s="116"/>
      <c r="H21" s="116"/>
      <c r="I21" s="116"/>
      <c r="J21" s="116"/>
      <c r="K21" s="116"/>
      <c r="L21" s="143"/>
      <c r="M21" s="1"/>
      <c r="N21" s="1"/>
      <c r="O21" s="1"/>
    </row>
    <row r="22" spans="1:15" ht="25.5">
      <c r="A22" s="80" t="s">
        <v>567</v>
      </c>
      <c r="B22" s="6"/>
      <c r="C22" s="166" t="s">
        <v>246</v>
      </c>
      <c r="D22" s="11" t="s">
        <v>118</v>
      </c>
      <c r="E22" s="116">
        <f aca="true" t="shared" si="2" ref="E22:F41">+G22+K22</f>
        <v>2</v>
      </c>
      <c r="F22" s="116">
        <f t="shared" si="2"/>
        <v>2</v>
      </c>
      <c r="G22" s="116">
        <v>2</v>
      </c>
      <c r="H22" s="116">
        <v>2</v>
      </c>
      <c r="I22" s="116"/>
      <c r="J22" s="116"/>
      <c r="K22" s="116"/>
      <c r="L22" s="143"/>
      <c r="M22" s="1"/>
      <c r="N22" s="1"/>
      <c r="O22" s="1"/>
    </row>
    <row r="23" spans="1:15" ht="12.75">
      <c r="A23" s="54">
        <v>6</v>
      </c>
      <c r="B23" s="7" t="s">
        <v>21</v>
      </c>
      <c r="C23" s="10" t="s">
        <v>22</v>
      </c>
      <c r="D23" s="11"/>
      <c r="E23" s="117">
        <f>+G23+K23</f>
        <v>242.4</v>
      </c>
      <c r="F23" s="117">
        <f>+H23+L23</f>
        <v>28.1</v>
      </c>
      <c r="G23" s="117">
        <f>+G24</f>
        <v>0</v>
      </c>
      <c r="H23" s="117">
        <v>0</v>
      </c>
      <c r="I23" s="117">
        <f>+I24</f>
        <v>0</v>
      </c>
      <c r="J23" s="117">
        <v>0</v>
      </c>
      <c r="K23" s="117">
        <f>+K24</f>
        <v>242.4</v>
      </c>
      <c r="L23" s="117">
        <f>+L24</f>
        <v>28.1</v>
      </c>
      <c r="M23" s="1"/>
      <c r="N23" s="1"/>
      <c r="O23" s="1"/>
    </row>
    <row r="24" spans="1:15" ht="12.75">
      <c r="A24" s="54">
        <v>7</v>
      </c>
      <c r="B24" s="9"/>
      <c r="C24" s="64" t="s">
        <v>108</v>
      </c>
      <c r="D24" s="11"/>
      <c r="E24" s="116">
        <f>+G24+K24</f>
        <v>242.4</v>
      </c>
      <c r="F24" s="116">
        <f>+H24+L24</f>
        <v>28.1</v>
      </c>
      <c r="G24" s="116"/>
      <c r="H24" s="116"/>
      <c r="I24" s="116"/>
      <c r="J24" s="116"/>
      <c r="K24" s="116">
        <f>+K26</f>
        <v>242.4</v>
      </c>
      <c r="L24" s="116">
        <f>+L26</f>
        <v>28.1</v>
      </c>
      <c r="M24" s="1"/>
      <c r="N24" s="1"/>
      <c r="O24" s="1"/>
    </row>
    <row r="25" spans="1:15" ht="12.75">
      <c r="A25" s="54"/>
      <c r="B25" s="9"/>
      <c r="C25" s="41" t="s">
        <v>109</v>
      </c>
      <c r="D25" s="11"/>
      <c r="E25" s="116">
        <f t="shared" si="2"/>
        <v>0</v>
      </c>
      <c r="F25" s="116">
        <f t="shared" si="2"/>
        <v>0</v>
      </c>
      <c r="G25" s="116"/>
      <c r="H25" s="116"/>
      <c r="I25" s="116"/>
      <c r="J25" s="116"/>
      <c r="K25" s="116"/>
      <c r="L25" s="143"/>
      <c r="M25" s="1"/>
      <c r="N25" s="1"/>
      <c r="O25" s="1"/>
    </row>
    <row r="26" spans="1:15" ht="38.25">
      <c r="A26" s="80" t="s">
        <v>572</v>
      </c>
      <c r="B26" s="9"/>
      <c r="C26" s="67" t="s">
        <v>309</v>
      </c>
      <c r="D26" s="11"/>
      <c r="E26" s="116">
        <f>+G26+K26</f>
        <v>242.4</v>
      </c>
      <c r="F26" s="116">
        <f>+H26+L26</f>
        <v>28.1</v>
      </c>
      <c r="G26" s="116"/>
      <c r="H26" s="116"/>
      <c r="I26" s="116"/>
      <c r="J26" s="116"/>
      <c r="K26" s="116">
        <f>+K27+K28</f>
        <v>242.4</v>
      </c>
      <c r="L26" s="116">
        <f>+L27+L28</f>
        <v>28.1</v>
      </c>
      <c r="M26" s="1"/>
      <c r="N26" s="1"/>
      <c r="O26" s="1"/>
    </row>
    <row r="27" spans="1:15" ht="12.75">
      <c r="A27" s="80" t="s">
        <v>573</v>
      </c>
      <c r="B27" s="9"/>
      <c r="C27" s="67" t="s">
        <v>251</v>
      </c>
      <c r="D27" s="11" t="s">
        <v>139</v>
      </c>
      <c r="E27" s="116">
        <f t="shared" si="2"/>
        <v>122.4</v>
      </c>
      <c r="F27" s="116">
        <f t="shared" si="2"/>
        <v>28.1</v>
      </c>
      <c r="G27" s="116"/>
      <c r="H27" s="116"/>
      <c r="I27" s="116"/>
      <c r="J27" s="116"/>
      <c r="K27" s="116">
        <v>122.4</v>
      </c>
      <c r="L27" s="143">
        <v>28.1</v>
      </c>
      <c r="M27" s="1"/>
      <c r="N27" s="1"/>
      <c r="O27" s="1"/>
    </row>
    <row r="28" spans="1:15" ht="25.5">
      <c r="A28" s="80" t="s">
        <v>574</v>
      </c>
      <c r="B28" s="9"/>
      <c r="C28" s="67" t="s">
        <v>418</v>
      </c>
      <c r="D28" s="9" t="s">
        <v>120</v>
      </c>
      <c r="E28" s="116">
        <f t="shared" si="2"/>
        <v>120</v>
      </c>
      <c r="F28" s="116">
        <f t="shared" si="2"/>
        <v>0</v>
      </c>
      <c r="G28" s="116"/>
      <c r="H28" s="116"/>
      <c r="I28" s="116"/>
      <c r="J28" s="116"/>
      <c r="K28" s="116">
        <v>120</v>
      </c>
      <c r="L28" s="143">
        <v>0</v>
      </c>
      <c r="M28" s="1"/>
      <c r="N28" s="1"/>
      <c r="O28" s="1"/>
    </row>
    <row r="29" spans="1:15" ht="12.75">
      <c r="A29" s="80">
        <v>8</v>
      </c>
      <c r="B29" s="7" t="s">
        <v>126</v>
      </c>
      <c r="C29" s="10" t="s">
        <v>127</v>
      </c>
      <c r="D29" s="9"/>
      <c r="E29" s="117">
        <f>+G29+K29</f>
        <v>180</v>
      </c>
      <c r="F29" s="117">
        <f>+H29+L29</f>
        <v>0</v>
      </c>
      <c r="G29" s="117">
        <f>+G30</f>
        <v>0</v>
      </c>
      <c r="H29" s="117">
        <v>0</v>
      </c>
      <c r="I29" s="117">
        <f>+I30</f>
        <v>0</v>
      </c>
      <c r="J29" s="117">
        <v>0</v>
      </c>
      <c r="K29" s="117">
        <f>+K30</f>
        <v>180</v>
      </c>
      <c r="L29" s="117">
        <f>+L30</f>
        <v>0</v>
      </c>
      <c r="M29" s="1"/>
      <c r="N29" s="1"/>
      <c r="O29" s="1"/>
    </row>
    <row r="30" spans="1:15" ht="12.75">
      <c r="A30" s="80">
        <v>9</v>
      </c>
      <c r="B30" s="9"/>
      <c r="C30" s="35" t="s">
        <v>202</v>
      </c>
      <c r="D30" s="9"/>
      <c r="E30" s="116">
        <f>+G30+K30</f>
        <v>180</v>
      </c>
      <c r="F30" s="116">
        <f>+H30+L30</f>
        <v>0</v>
      </c>
      <c r="G30" s="116"/>
      <c r="H30" s="116"/>
      <c r="I30" s="116"/>
      <c r="J30" s="116"/>
      <c r="K30" s="116">
        <f>+K32</f>
        <v>180</v>
      </c>
      <c r="L30" s="116">
        <f>+L32</f>
        <v>0</v>
      </c>
      <c r="M30" s="1"/>
      <c r="N30" s="1"/>
      <c r="O30" s="1"/>
    </row>
    <row r="31" spans="1:15" ht="12.75">
      <c r="A31" s="80"/>
      <c r="B31" s="9"/>
      <c r="C31" s="35" t="s">
        <v>121</v>
      </c>
      <c r="D31" s="9"/>
      <c r="E31" s="116"/>
      <c r="F31" s="116"/>
      <c r="G31" s="116"/>
      <c r="H31" s="116"/>
      <c r="I31" s="116"/>
      <c r="J31" s="116"/>
      <c r="K31" s="116"/>
      <c r="L31" s="143"/>
      <c r="M31" s="1"/>
      <c r="N31" s="1"/>
      <c r="O31" s="1"/>
    </row>
    <row r="32" spans="1:15" ht="38.25">
      <c r="A32" s="80" t="s">
        <v>575</v>
      </c>
      <c r="B32" s="9"/>
      <c r="C32" s="67" t="s">
        <v>309</v>
      </c>
      <c r="D32" s="9"/>
      <c r="E32" s="116">
        <f>+G32+K32</f>
        <v>180</v>
      </c>
      <c r="F32" s="116">
        <f>+H32+L32</f>
        <v>0</v>
      </c>
      <c r="G32" s="116"/>
      <c r="H32" s="116"/>
      <c r="I32" s="116"/>
      <c r="J32" s="116"/>
      <c r="K32" s="116">
        <f>+K33</f>
        <v>180</v>
      </c>
      <c r="L32" s="143">
        <v>0</v>
      </c>
      <c r="M32" s="1"/>
      <c r="N32" s="1"/>
      <c r="O32" s="1"/>
    </row>
    <row r="33" spans="1:15" ht="12.75">
      <c r="A33" s="80" t="s">
        <v>576</v>
      </c>
      <c r="B33" s="9"/>
      <c r="C33" s="35" t="s">
        <v>423</v>
      </c>
      <c r="D33" s="9" t="s">
        <v>128</v>
      </c>
      <c r="E33" s="116">
        <f>+G33+K33</f>
        <v>180</v>
      </c>
      <c r="F33" s="116">
        <f>+H33+L33</f>
        <v>0</v>
      </c>
      <c r="G33" s="116"/>
      <c r="H33" s="116"/>
      <c r="I33" s="116"/>
      <c r="J33" s="116"/>
      <c r="K33" s="116">
        <v>180</v>
      </c>
      <c r="L33" s="143">
        <v>0</v>
      </c>
      <c r="M33" s="1"/>
      <c r="N33" s="1"/>
      <c r="O33" s="1"/>
    </row>
    <row r="34" spans="1:15" ht="25.5">
      <c r="A34" s="54">
        <v>10</v>
      </c>
      <c r="B34" s="7" t="s">
        <v>177</v>
      </c>
      <c r="C34" s="68" t="s">
        <v>178</v>
      </c>
      <c r="D34" s="11"/>
      <c r="E34" s="117">
        <f t="shared" si="2"/>
        <v>3</v>
      </c>
      <c r="F34" s="117">
        <f t="shared" si="2"/>
        <v>3</v>
      </c>
      <c r="G34" s="117">
        <f>+G35</f>
        <v>3</v>
      </c>
      <c r="H34" s="117">
        <f>+H35</f>
        <v>3</v>
      </c>
      <c r="I34" s="117">
        <f>+I35</f>
        <v>0</v>
      </c>
      <c r="J34" s="117">
        <v>0</v>
      </c>
      <c r="K34" s="117">
        <f>+K35</f>
        <v>0</v>
      </c>
      <c r="L34" s="157">
        <v>0</v>
      </c>
      <c r="M34" s="1"/>
      <c r="N34" s="1"/>
      <c r="O34" s="1"/>
    </row>
    <row r="35" spans="1:15" ht="12.75">
      <c r="A35" s="54">
        <v>11</v>
      </c>
      <c r="B35" s="9"/>
      <c r="C35" s="64" t="s">
        <v>3</v>
      </c>
      <c r="D35" s="11" t="s">
        <v>205</v>
      </c>
      <c r="E35" s="116">
        <f t="shared" si="2"/>
        <v>3</v>
      </c>
      <c r="F35" s="116">
        <f t="shared" si="2"/>
        <v>3</v>
      </c>
      <c r="G35" s="116">
        <v>3</v>
      </c>
      <c r="H35" s="116">
        <v>3</v>
      </c>
      <c r="I35" s="116"/>
      <c r="J35" s="116"/>
      <c r="K35" s="116"/>
      <c r="L35" s="143"/>
      <c r="M35" s="1"/>
      <c r="N35" s="1"/>
      <c r="O35" s="1"/>
    </row>
    <row r="36" spans="1:15" ht="24">
      <c r="A36" s="54">
        <v>12</v>
      </c>
      <c r="B36" s="7" t="s">
        <v>135</v>
      </c>
      <c r="C36" s="74" t="s">
        <v>136</v>
      </c>
      <c r="D36" s="11"/>
      <c r="E36" s="117">
        <f t="shared" si="2"/>
        <v>141.1</v>
      </c>
      <c r="F36" s="117">
        <f t="shared" si="2"/>
        <v>23.799999999999997</v>
      </c>
      <c r="G36" s="117">
        <f>+G37</f>
        <v>61.5</v>
      </c>
      <c r="H36" s="117">
        <f>+H37</f>
        <v>22.4</v>
      </c>
      <c r="I36" s="117">
        <f>+I37</f>
        <v>0</v>
      </c>
      <c r="J36" s="117">
        <v>0</v>
      </c>
      <c r="K36" s="117">
        <f>+K37</f>
        <v>79.6</v>
      </c>
      <c r="L36" s="117">
        <f>+L37</f>
        <v>1.4</v>
      </c>
      <c r="M36" s="1"/>
      <c r="N36" s="1"/>
      <c r="O36" s="1"/>
    </row>
    <row r="37" spans="1:15" ht="12.75">
      <c r="A37" s="54">
        <v>13</v>
      </c>
      <c r="B37" s="9"/>
      <c r="C37" s="64" t="s">
        <v>108</v>
      </c>
      <c r="D37" s="11"/>
      <c r="E37" s="116">
        <f t="shared" si="2"/>
        <v>141.1</v>
      </c>
      <c r="F37" s="116">
        <f t="shared" si="2"/>
        <v>23.799999999999997</v>
      </c>
      <c r="G37" s="116">
        <f>+G39</f>
        <v>61.5</v>
      </c>
      <c r="H37" s="116">
        <f>+H39</f>
        <v>22.4</v>
      </c>
      <c r="I37" s="116"/>
      <c r="J37" s="116"/>
      <c r="K37" s="116">
        <f>+K39</f>
        <v>79.6</v>
      </c>
      <c r="L37" s="116">
        <f>+L39</f>
        <v>1.4</v>
      </c>
      <c r="M37" s="1"/>
      <c r="N37" s="1"/>
      <c r="O37" s="1"/>
    </row>
    <row r="38" spans="1:15" ht="12.75">
      <c r="A38" s="54"/>
      <c r="B38" s="9"/>
      <c r="C38" s="41" t="s">
        <v>109</v>
      </c>
      <c r="D38" s="11"/>
      <c r="E38" s="116"/>
      <c r="F38" s="116"/>
      <c r="G38" s="116"/>
      <c r="H38" s="116"/>
      <c r="I38" s="116"/>
      <c r="J38" s="116"/>
      <c r="K38" s="116"/>
      <c r="L38" s="143"/>
      <c r="M38" s="1"/>
      <c r="N38" s="1"/>
      <c r="O38" s="1"/>
    </row>
    <row r="39" spans="1:15" ht="38.25">
      <c r="A39" s="80" t="s">
        <v>577</v>
      </c>
      <c r="B39" s="9"/>
      <c r="C39" s="67" t="s">
        <v>309</v>
      </c>
      <c r="D39" s="11"/>
      <c r="E39" s="116">
        <f>+G39+K39</f>
        <v>141.1</v>
      </c>
      <c r="F39" s="116">
        <f>+H39+L39</f>
        <v>23.799999999999997</v>
      </c>
      <c r="G39" s="116">
        <f>+G40+G41</f>
        <v>61.5</v>
      </c>
      <c r="H39" s="116">
        <f>+H40+H41</f>
        <v>22.4</v>
      </c>
      <c r="I39" s="116"/>
      <c r="J39" s="116"/>
      <c r="K39" s="116">
        <f>+K40</f>
        <v>79.6</v>
      </c>
      <c r="L39" s="116">
        <f>+L40</f>
        <v>1.4</v>
      </c>
      <c r="M39" s="1"/>
      <c r="N39" s="1"/>
      <c r="O39" s="1"/>
    </row>
    <row r="40" spans="1:15" ht="28.5" customHeight="1">
      <c r="A40" s="80" t="s">
        <v>578</v>
      </c>
      <c r="B40" s="6"/>
      <c r="C40" s="166" t="s">
        <v>252</v>
      </c>
      <c r="D40" s="11" t="s">
        <v>254</v>
      </c>
      <c r="E40" s="116">
        <f t="shared" si="2"/>
        <v>119.6</v>
      </c>
      <c r="F40" s="116">
        <f t="shared" si="2"/>
        <v>7.1</v>
      </c>
      <c r="G40" s="116">
        <f>119.6-79.6</f>
        <v>40</v>
      </c>
      <c r="H40" s="116">
        <v>5.7</v>
      </c>
      <c r="I40" s="116"/>
      <c r="J40" s="116"/>
      <c r="K40" s="116">
        <v>79.6</v>
      </c>
      <c r="L40" s="143">
        <v>1.4</v>
      </c>
      <c r="M40" s="1"/>
      <c r="N40" s="1"/>
      <c r="O40" s="1"/>
    </row>
    <row r="41" spans="1:15" ht="25.5">
      <c r="A41" s="80" t="s">
        <v>579</v>
      </c>
      <c r="B41" s="6"/>
      <c r="C41" s="167" t="s">
        <v>238</v>
      </c>
      <c r="D41" s="11" t="s">
        <v>63</v>
      </c>
      <c r="E41" s="116">
        <f t="shared" si="2"/>
        <v>21.5</v>
      </c>
      <c r="F41" s="116">
        <f t="shared" si="2"/>
        <v>16.7</v>
      </c>
      <c r="G41" s="116">
        <v>21.5</v>
      </c>
      <c r="H41" s="116">
        <v>16.7</v>
      </c>
      <c r="I41" s="116"/>
      <c r="J41" s="116"/>
      <c r="K41" s="116"/>
      <c r="L41" s="143"/>
      <c r="M41" s="1"/>
      <c r="N41" s="1"/>
      <c r="O41" s="1"/>
    </row>
    <row r="42" spans="1:15" ht="24.75" customHeight="1">
      <c r="A42" s="55">
        <v>14</v>
      </c>
      <c r="B42" s="7" t="s">
        <v>140</v>
      </c>
      <c r="C42" s="10" t="s">
        <v>141</v>
      </c>
      <c r="D42" s="65"/>
      <c r="E42" s="79">
        <f>+G42+K42</f>
        <v>213.9</v>
      </c>
      <c r="F42" s="79">
        <f>+H42+L42</f>
        <v>213.9</v>
      </c>
      <c r="G42" s="79">
        <f>+G43</f>
        <v>213.9</v>
      </c>
      <c r="H42" s="79">
        <f>+H43</f>
        <v>213.9</v>
      </c>
      <c r="I42" s="79">
        <f>+I43</f>
        <v>0</v>
      </c>
      <c r="J42" s="79">
        <v>0</v>
      </c>
      <c r="K42" s="79">
        <f>+K43</f>
        <v>0</v>
      </c>
      <c r="L42" s="157">
        <v>0</v>
      </c>
      <c r="M42" s="1"/>
      <c r="N42" s="1"/>
      <c r="O42" s="1"/>
    </row>
    <row r="43" spans="1:15" ht="12.75" customHeight="1">
      <c r="A43" s="54">
        <v>15</v>
      </c>
      <c r="B43" s="17"/>
      <c r="C43" s="64" t="s">
        <v>108</v>
      </c>
      <c r="D43" s="9"/>
      <c r="E43" s="78">
        <f>+G43+K43</f>
        <v>213.9</v>
      </c>
      <c r="F43" s="78">
        <f>+H43+L43</f>
        <v>213.9</v>
      </c>
      <c r="G43" s="78">
        <f>+G45+G46</f>
        <v>213.9</v>
      </c>
      <c r="H43" s="78">
        <f>+H45+H46</f>
        <v>213.9</v>
      </c>
      <c r="I43" s="78"/>
      <c r="J43" s="78"/>
      <c r="K43" s="78"/>
      <c r="L43" s="143"/>
      <c r="M43" s="1"/>
      <c r="N43" s="1"/>
      <c r="O43" s="1"/>
    </row>
    <row r="44" spans="1:15" ht="12.75" customHeight="1">
      <c r="A44" s="55"/>
      <c r="B44" s="17"/>
      <c r="C44" s="38" t="s">
        <v>109</v>
      </c>
      <c r="D44" s="9"/>
      <c r="E44" s="78"/>
      <c r="F44" s="78"/>
      <c r="G44" s="78"/>
      <c r="H44" s="78"/>
      <c r="I44" s="78"/>
      <c r="J44" s="78"/>
      <c r="K44" s="78"/>
      <c r="L44" s="143"/>
      <c r="M44" s="1"/>
      <c r="N44" s="1"/>
      <c r="O44" s="1"/>
    </row>
    <row r="45" spans="1:15" ht="24.75" customHeight="1">
      <c r="A45" s="80" t="s">
        <v>580</v>
      </c>
      <c r="B45" s="17"/>
      <c r="C45" s="166" t="s">
        <v>246</v>
      </c>
      <c r="D45" s="168" t="s">
        <v>261</v>
      </c>
      <c r="E45" s="78">
        <f>+G45+K45</f>
        <v>38</v>
      </c>
      <c r="F45" s="78">
        <f>+H45+L45</f>
        <v>38</v>
      </c>
      <c r="G45" s="78">
        <v>38</v>
      </c>
      <c r="H45" s="78">
        <v>38</v>
      </c>
      <c r="I45" s="78"/>
      <c r="J45" s="78"/>
      <c r="K45" s="78"/>
      <c r="L45" s="143"/>
      <c r="M45" s="1"/>
      <c r="N45" s="1"/>
      <c r="O45" s="1"/>
    </row>
    <row r="46" spans="1:15" ht="12.75" customHeight="1">
      <c r="A46" s="73" t="s">
        <v>581</v>
      </c>
      <c r="B46" s="17"/>
      <c r="C46" s="166" t="s">
        <v>146</v>
      </c>
      <c r="D46" s="168" t="s">
        <v>143</v>
      </c>
      <c r="E46" s="78">
        <f>+G46+K46</f>
        <v>175.9</v>
      </c>
      <c r="F46" s="78">
        <f>+H46+L46</f>
        <v>175.9</v>
      </c>
      <c r="G46" s="78">
        <v>175.9</v>
      </c>
      <c r="H46" s="78">
        <v>175.9</v>
      </c>
      <c r="I46" s="79"/>
      <c r="J46" s="79"/>
      <c r="K46" s="79"/>
      <c r="L46" s="143"/>
      <c r="M46" s="1"/>
      <c r="N46" s="1"/>
      <c r="O46" s="1"/>
    </row>
    <row r="47" spans="1:15" ht="14.25">
      <c r="A47" s="54">
        <v>16</v>
      </c>
      <c r="B47" s="17"/>
      <c r="C47" s="65" t="s">
        <v>210</v>
      </c>
      <c r="D47" s="86"/>
      <c r="E47" s="146">
        <f>+E48+E68+E91</f>
        <v>79.1</v>
      </c>
      <c r="F47" s="146">
        <f>+F48+F68+F91</f>
        <v>76</v>
      </c>
      <c r="G47" s="146">
        <f>+G48+G68+G91</f>
        <v>64.1</v>
      </c>
      <c r="H47" s="146">
        <f>+H48+H68+H91</f>
        <v>64</v>
      </c>
      <c r="I47" s="146">
        <f>+I48+I68+I91</f>
        <v>0</v>
      </c>
      <c r="J47" s="146">
        <v>0</v>
      </c>
      <c r="K47" s="146">
        <f>+K48+K68+K91</f>
        <v>15</v>
      </c>
      <c r="L47" s="146">
        <f>+L48+L68+L91</f>
        <v>12</v>
      </c>
      <c r="M47" s="1"/>
      <c r="N47" s="1"/>
      <c r="O47" s="1"/>
    </row>
    <row r="48" spans="1:15" ht="12.75">
      <c r="A48" s="54">
        <v>17</v>
      </c>
      <c r="B48" s="17"/>
      <c r="C48" s="65" t="s">
        <v>211</v>
      </c>
      <c r="D48" s="71"/>
      <c r="E48" s="79">
        <f aca="true" t="shared" si="3" ref="E48:E69">+G48+K48</f>
        <v>28.3</v>
      </c>
      <c r="F48" s="79">
        <f aca="true" t="shared" si="4" ref="F48:F69">+H48+L48</f>
        <v>25.3</v>
      </c>
      <c r="G48" s="79">
        <f>+G49+G58+G61</f>
        <v>13.3</v>
      </c>
      <c r="H48" s="79">
        <f>+H49+H58+H61</f>
        <v>13.3</v>
      </c>
      <c r="I48" s="79">
        <f>+I49+I58+I61</f>
        <v>0</v>
      </c>
      <c r="J48" s="79">
        <v>0</v>
      </c>
      <c r="K48" s="79">
        <f>+K49+K58+K61</f>
        <v>15</v>
      </c>
      <c r="L48" s="79">
        <f>+L49+L58+L61</f>
        <v>12</v>
      </c>
      <c r="M48" s="1"/>
      <c r="N48" s="1"/>
      <c r="O48" s="1"/>
    </row>
    <row r="49" spans="1:15" ht="12.75">
      <c r="A49" s="54">
        <v>18</v>
      </c>
      <c r="B49" s="7" t="s">
        <v>101</v>
      </c>
      <c r="C49" s="50" t="s">
        <v>102</v>
      </c>
      <c r="D49" s="65"/>
      <c r="E49" s="79">
        <f t="shared" si="3"/>
        <v>5.999999999999999</v>
      </c>
      <c r="F49" s="79">
        <f t="shared" si="4"/>
        <v>5.999999999999999</v>
      </c>
      <c r="G49" s="79">
        <f>SUM(G50:G57)</f>
        <v>5.999999999999999</v>
      </c>
      <c r="H49" s="79">
        <f>SUM(H50:H57)</f>
        <v>5.999999999999999</v>
      </c>
      <c r="I49" s="79">
        <f>SUM(I51:I56)</f>
        <v>0</v>
      </c>
      <c r="J49" s="79">
        <v>0</v>
      </c>
      <c r="K49" s="79">
        <f>SUM(K51:K56)</f>
        <v>0</v>
      </c>
      <c r="L49" s="79">
        <f>SUM(L51:L56)</f>
        <v>0</v>
      </c>
      <c r="M49" s="1"/>
      <c r="N49" s="1"/>
      <c r="O49" s="1"/>
    </row>
    <row r="50" spans="1:15" ht="12.75">
      <c r="A50" s="54">
        <v>19</v>
      </c>
      <c r="B50" s="7"/>
      <c r="C50" s="39" t="s">
        <v>76</v>
      </c>
      <c r="D50" s="71" t="s">
        <v>104</v>
      </c>
      <c r="E50" s="78">
        <f t="shared" si="3"/>
        <v>0.2</v>
      </c>
      <c r="F50" s="78">
        <f t="shared" si="4"/>
        <v>0.2</v>
      </c>
      <c r="G50" s="78">
        <v>0.2</v>
      </c>
      <c r="H50" s="78">
        <v>0.2</v>
      </c>
      <c r="I50" s="79"/>
      <c r="J50" s="79"/>
      <c r="K50" s="79"/>
      <c r="L50" s="143"/>
      <c r="M50" s="1"/>
      <c r="N50" s="1"/>
      <c r="O50" s="1"/>
    </row>
    <row r="51" spans="1:15" ht="12.75">
      <c r="A51" s="54">
        <v>20</v>
      </c>
      <c r="B51" s="169"/>
      <c r="C51" s="170" t="s">
        <v>74</v>
      </c>
      <c r="D51" s="9" t="s">
        <v>103</v>
      </c>
      <c r="E51" s="78">
        <f t="shared" si="3"/>
        <v>0.2</v>
      </c>
      <c r="F51" s="78">
        <f t="shared" si="4"/>
        <v>0.2</v>
      </c>
      <c r="G51" s="78">
        <v>0.2</v>
      </c>
      <c r="H51" s="78">
        <v>0.2</v>
      </c>
      <c r="I51" s="79"/>
      <c r="J51" s="79"/>
      <c r="K51" s="79"/>
      <c r="L51" s="143"/>
      <c r="M51" s="1"/>
      <c r="N51" s="1"/>
      <c r="O51" s="1"/>
    </row>
    <row r="52" spans="1:15" ht="12.75">
      <c r="A52" s="54">
        <v>21</v>
      </c>
      <c r="B52" s="171"/>
      <c r="C52" s="170" t="s">
        <v>85</v>
      </c>
      <c r="D52" s="9" t="s">
        <v>105</v>
      </c>
      <c r="E52" s="78">
        <f t="shared" si="3"/>
        <v>0.1</v>
      </c>
      <c r="F52" s="78">
        <f t="shared" si="4"/>
        <v>0.1</v>
      </c>
      <c r="G52" s="78">
        <v>0.1</v>
      </c>
      <c r="H52" s="78">
        <v>0.1</v>
      </c>
      <c r="I52" s="78"/>
      <c r="J52" s="78"/>
      <c r="K52" s="78"/>
      <c r="L52" s="143"/>
      <c r="M52" s="1"/>
      <c r="N52" s="1"/>
      <c r="O52" s="1"/>
    </row>
    <row r="53" spans="1:15" ht="12.75">
      <c r="A53" s="54">
        <v>22</v>
      </c>
      <c r="B53" s="171"/>
      <c r="C53" s="172" t="s">
        <v>269</v>
      </c>
      <c r="D53" s="9" t="s">
        <v>105</v>
      </c>
      <c r="E53" s="78">
        <f t="shared" si="3"/>
        <v>0.1</v>
      </c>
      <c r="F53" s="78">
        <f t="shared" si="4"/>
        <v>0.1</v>
      </c>
      <c r="G53" s="78">
        <v>0.1</v>
      </c>
      <c r="H53" s="78">
        <v>0.1</v>
      </c>
      <c r="I53" s="78"/>
      <c r="J53" s="78"/>
      <c r="K53" s="78"/>
      <c r="L53" s="143"/>
      <c r="M53" s="1"/>
      <c r="N53" s="1"/>
      <c r="O53" s="1"/>
    </row>
    <row r="54" spans="1:15" ht="25.5">
      <c r="A54" s="54">
        <v>23</v>
      </c>
      <c r="B54" s="171"/>
      <c r="C54" s="173" t="s">
        <v>222</v>
      </c>
      <c r="D54" s="11" t="s">
        <v>157</v>
      </c>
      <c r="E54" s="78">
        <f t="shared" si="3"/>
        <v>0.1</v>
      </c>
      <c r="F54" s="78">
        <f t="shared" si="4"/>
        <v>0.1</v>
      </c>
      <c r="G54" s="78">
        <v>0.1</v>
      </c>
      <c r="H54" s="78">
        <v>0.1</v>
      </c>
      <c r="I54" s="78"/>
      <c r="J54" s="78"/>
      <c r="K54" s="78"/>
      <c r="L54" s="143"/>
      <c r="M54" s="1"/>
      <c r="N54" s="1"/>
      <c r="O54" s="1"/>
    </row>
    <row r="55" spans="1:15" ht="12.75">
      <c r="A55" s="54">
        <v>24</v>
      </c>
      <c r="B55" s="171"/>
      <c r="C55" s="174" t="s">
        <v>86</v>
      </c>
      <c r="D55" s="9" t="s">
        <v>107</v>
      </c>
      <c r="E55" s="78">
        <f t="shared" si="3"/>
        <v>0.1</v>
      </c>
      <c r="F55" s="78">
        <f t="shared" si="4"/>
        <v>0.1</v>
      </c>
      <c r="G55" s="78">
        <v>0.1</v>
      </c>
      <c r="H55" s="78">
        <v>0.1</v>
      </c>
      <c r="I55" s="78"/>
      <c r="J55" s="78"/>
      <c r="K55" s="78"/>
      <c r="L55" s="143"/>
      <c r="M55" s="1"/>
      <c r="N55" s="1"/>
      <c r="O55" s="1"/>
    </row>
    <row r="56" spans="1:15" ht="12.75">
      <c r="A56" s="54">
        <v>25</v>
      </c>
      <c r="B56" s="171"/>
      <c r="C56" s="170" t="s">
        <v>193</v>
      </c>
      <c r="D56" s="9" t="s">
        <v>107</v>
      </c>
      <c r="E56" s="78">
        <f t="shared" si="3"/>
        <v>5.1</v>
      </c>
      <c r="F56" s="78">
        <f t="shared" si="4"/>
        <v>5.1</v>
      </c>
      <c r="G56" s="78">
        <v>5.1</v>
      </c>
      <c r="H56" s="78">
        <v>5.1</v>
      </c>
      <c r="I56" s="78"/>
      <c r="J56" s="78"/>
      <c r="K56" s="78"/>
      <c r="L56" s="143"/>
      <c r="M56" s="1"/>
      <c r="N56" s="1"/>
      <c r="O56" s="1"/>
    </row>
    <row r="57" spans="1:15" ht="12.75">
      <c r="A57" s="54">
        <v>26</v>
      </c>
      <c r="B57" s="171"/>
      <c r="C57" s="175" t="s">
        <v>170</v>
      </c>
      <c r="D57" s="9" t="s">
        <v>171</v>
      </c>
      <c r="E57" s="78">
        <f t="shared" si="3"/>
        <v>0.1</v>
      </c>
      <c r="F57" s="78">
        <f t="shared" si="4"/>
        <v>0.1</v>
      </c>
      <c r="G57" s="78">
        <v>0.1</v>
      </c>
      <c r="H57" s="78">
        <v>0.1</v>
      </c>
      <c r="I57" s="78"/>
      <c r="J57" s="78"/>
      <c r="K57" s="78"/>
      <c r="L57" s="143"/>
      <c r="M57" s="1"/>
      <c r="N57" s="1"/>
      <c r="O57" s="1"/>
    </row>
    <row r="58" spans="1:15" ht="12.75">
      <c r="A58" s="54">
        <v>27</v>
      </c>
      <c r="B58" s="7" t="s">
        <v>129</v>
      </c>
      <c r="C58" s="10" t="s">
        <v>130</v>
      </c>
      <c r="D58" s="9"/>
      <c r="E58" s="79">
        <f t="shared" si="3"/>
        <v>0.7999999999999999</v>
      </c>
      <c r="F58" s="79">
        <f t="shared" si="4"/>
        <v>0.7999999999999999</v>
      </c>
      <c r="G58" s="79">
        <f>SUM(G59:G60)</f>
        <v>0.7999999999999999</v>
      </c>
      <c r="H58" s="79">
        <f>SUM(H59:H60)</f>
        <v>0.7999999999999999</v>
      </c>
      <c r="I58" s="79">
        <f>SUM(I59:I60)</f>
        <v>0</v>
      </c>
      <c r="J58" s="79">
        <v>0</v>
      </c>
      <c r="K58" s="79">
        <f>SUM(K59:K60)</f>
        <v>0</v>
      </c>
      <c r="L58" s="157">
        <v>0</v>
      </c>
      <c r="M58" s="1"/>
      <c r="N58" s="1"/>
      <c r="O58" s="1"/>
    </row>
    <row r="59" spans="1:15" ht="12.75">
      <c r="A59" s="54">
        <v>28</v>
      </c>
      <c r="B59" s="7"/>
      <c r="C59" s="176" t="s">
        <v>82</v>
      </c>
      <c r="D59" s="9" t="s">
        <v>131</v>
      </c>
      <c r="E59" s="78">
        <f t="shared" si="3"/>
        <v>0.7</v>
      </c>
      <c r="F59" s="78">
        <f>+H59+L59</f>
        <v>0.7</v>
      </c>
      <c r="G59" s="78">
        <v>0.7</v>
      </c>
      <c r="H59" s="78">
        <v>0.7</v>
      </c>
      <c r="I59" s="78"/>
      <c r="J59" s="78"/>
      <c r="K59" s="78"/>
      <c r="L59" s="143"/>
      <c r="M59" s="1"/>
      <c r="N59" s="1"/>
      <c r="O59" s="1"/>
    </row>
    <row r="60" spans="1:15" ht="12.75">
      <c r="A60" s="54">
        <v>29</v>
      </c>
      <c r="B60" s="7"/>
      <c r="C60" s="177" t="s">
        <v>89</v>
      </c>
      <c r="D60" s="9" t="s">
        <v>131</v>
      </c>
      <c r="E60" s="78">
        <f t="shared" si="3"/>
        <v>0.1</v>
      </c>
      <c r="F60" s="78">
        <f t="shared" si="4"/>
        <v>0.1</v>
      </c>
      <c r="G60" s="78">
        <v>0.1</v>
      </c>
      <c r="H60" s="78">
        <v>0.1</v>
      </c>
      <c r="I60" s="79"/>
      <c r="J60" s="79"/>
      <c r="K60" s="79"/>
      <c r="L60" s="143"/>
      <c r="M60" s="1"/>
      <c r="N60" s="1"/>
      <c r="O60" s="1"/>
    </row>
    <row r="61" spans="1:15" ht="12.75">
      <c r="A61" s="54">
        <v>30</v>
      </c>
      <c r="B61" s="7" t="s">
        <v>25</v>
      </c>
      <c r="C61" s="10" t="s">
        <v>26</v>
      </c>
      <c r="D61" s="9"/>
      <c r="E61" s="79">
        <f t="shared" si="3"/>
        <v>21.5</v>
      </c>
      <c r="F61" s="79">
        <f t="shared" si="4"/>
        <v>18.5</v>
      </c>
      <c r="G61" s="79">
        <f>SUM(G62:G67)</f>
        <v>6.500000000000002</v>
      </c>
      <c r="H61" s="79">
        <f>SUM(H62:H67)</f>
        <v>6.500000000000001</v>
      </c>
      <c r="I61" s="79">
        <f>SUM(I62:I67)</f>
        <v>0</v>
      </c>
      <c r="J61" s="79">
        <v>0</v>
      </c>
      <c r="K61" s="79">
        <f>SUM(K62:K67)</f>
        <v>15</v>
      </c>
      <c r="L61" s="79">
        <f>SUM(L62:L67)</f>
        <v>12</v>
      </c>
      <c r="M61" s="1"/>
      <c r="N61" s="1"/>
      <c r="O61" s="1"/>
    </row>
    <row r="62" spans="1:15" ht="12.75">
      <c r="A62" s="54">
        <v>31</v>
      </c>
      <c r="B62" s="7"/>
      <c r="C62" s="64" t="s">
        <v>3</v>
      </c>
      <c r="D62" s="28" t="s">
        <v>190</v>
      </c>
      <c r="E62" s="78">
        <f t="shared" si="3"/>
        <v>17.1</v>
      </c>
      <c r="F62" s="78">
        <f t="shared" si="4"/>
        <v>14.1</v>
      </c>
      <c r="G62" s="78">
        <f>17.1-15</f>
        <v>2.1000000000000014</v>
      </c>
      <c r="H62" s="78">
        <v>2.1</v>
      </c>
      <c r="I62" s="79"/>
      <c r="J62" s="79"/>
      <c r="K62" s="78">
        <v>15</v>
      </c>
      <c r="L62" s="143">
        <v>12</v>
      </c>
      <c r="M62" s="1"/>
      <c r="N62" s="1"/>
      <c r="O62" s="1"/>
    </row>
    <row r="63" spans="1:15" ht="25.5">
      <c r="A63" s="54">
        <v>32</v>
      </c>
      <c r="B63" s="171"/>
      <c r="C63" s="61" t="s">
        <v>8</v>
      </c>
      <c r="D63" s="28" t="s">
        <v>190</v>
      </c>
      <c r="E63" s="78">
        <f t="shared" si="3"/>
        <v>1.3</v>
      </c>
      <c r="F63" s="78">
        <f t="shared" si="4"/>
        <v>1.3</v>
      </c>
      <c r="G63" s="78">
        <v>1.3</v>
      </c>
      <c r="H63" s="78">
        <v>1.3</v>
      </c>
      <c r="I63" s="78"/>
      <c r="J63" s="78"/>
      <c r="K63" s="78"/>
      <c r="L63" s="143"/>
      <c r="M63" s="1"/>
      <c r="N63" s="1"/>
      <c r="O63" s="1"/>
    </row>
    <row r="64" spans="1:15" ht="25.5">
      <c r="A64" s="54">
        <v>33</v>
      </c>
      <c r="B64" s="171"/>
      <c r="C64" s="61" t="s">
        <v>7</v>
      </c>
      <c r="D64" s="28" t="s">
        <v>190</v>
      </c>
      <c r="E64" s="78">
        <f t="shared" si="3"/>
        <v>1.5</v>
      </c>
      <c r="F64" s="78">
        <f t="shared" si="4"/>
        <v>1.5</v>
      </c>
      <c r="G64" s="78">
        <v>1.5</v>
      </c>
      <c r="H64" s="78">
        <v>1.5</v>
      </c>
      <c r="I64" s="78"/>
      <c r="J64" s="78"/>
      <c r="K64" s="78"/>
      <c r="L64" s="143"/>
      <c r="M64" s="1"/>
      <c r="N64" s="1"/>
      <c r="O64" s="1"/>
    </row>
    <row r="65" spans="1:15" ht="25.5">
      <c r="A65" s="54">
        <v>34</v>
      </c>
      <c r="B65" s="171"/>
      <c r="C65" s="12" t="s">
        <v>6</v>
      </c>
      <c r="D65" s="28" t="s">
        <v>190</v>
      </c>
      <c r="E65" s="78">
        <f t="shared" si="3"/>
        <v>0.5</v>
      </c>
      <c r="F65" s="78">
        <f t="shared" si="4"/>
        <v>0.5</v>
      </c>
      <c r="G65" s="78">
        <v>0.5</v>
      </c>
      <c r="H65" s="78">
        <v>0.5</v>
      </c>
      <c r="I65" s="78"/>
      <c r="J65" s="78"/>
      <c r="K65" s="78"/>
      <c r="L65" s="143"/>
      <c r="M65" s="1"/>
      <c r="N65" s="1"/>
      <c r="O65" s="1"/>
    </row>
    <row r="66" spans="1:15" ht="25.5">
      <c r="A66" s="54">
        <v>35</v>
      </c>
      <c r="B66" s="171"/>
      <c r="C66" s="61" t="s">
        <v>9</v>
      </c>
      <c r="D66" s="28" t="s">
        <v>190</v>
      </c>
      <c r="E66" s="78">
        <f t="shared" si="3"/>
        <v>0.2</v>
      </c>
      <c r="F66" s="78">
        <f t="shared" si="4"/>
        <v>0.2</v>
      </c>
      <c r="G66" s="78">
        <v>0.2</v>
      </c>
      <c r="H66" s="78">
        <v>0.2</v>
      </c>
      <c r="I66" s="78"/>
      <c r="J66" s="78"/>
      <c r="K66" s="78"/>
      <c r="L66" s="143"/>
      <c r="M66" s="1"/>
      <c r="N66" s="1"/>
      <c r="O66" s="1"/>
    </row>
    <row r="67" spans="1:15" ht="25.5">
      <c r="A67" s="54">
        <v>36</v>
      </c>
      <c r="B67" s="171"/>
      <c r="C67" s="61" t="s">
        <v>13</v>
      </c>
      <c r="D67" s="28" t="s">
        <v>190</v>
      </c>
      <c r="E67" s="78">
        <f t="shared" si="3"/>
        <v>0.9</v>
      </c>
      <c r="F67" s="78">
        <f t="shared" si="4"/>
        <v>0.9</v>
      </c>
      <c r="G67" s="78">
        <v>0.9</v>
      </c>
      <c r="H67" s="78">
        <v>0.9</v>
      </c>
      <c r="I67" s="78"/>
      <c r="J67" s="78"/>
      <c r="K67" s="78"/>
      <c r="L67" s="143"/>
      <c r="M67" s="1"/>
      <c r="N67" s="1"/>
      <c r="O67" s="1"/>
    </row>
    <row r="68" spans="1:15" ht="12.75">
      <c r="A68" s="54">
        <v>37</v>
      </c>
      <c r="B68" s="17"/>
      <c r="C68" s="31" t="s">
        <v>212</v>
      </c>
      <c r="D68" s="71"/>
      <c r="E68" s="79">
        <f t="shared" si="3"/>
        <v>20.5</v>
      </c>
      <c r="F68" s="79">
        <f t="shared" si="4"/>
        <v>20.4</v>
      </c>
      <c r="G68" s="79">
        <f>+G69+G81+G83+G86+G89</f>
        <v>20.5</v>
      </c>
      <c r="H68" s="79">
        <f>+H69+H81+H83+H86+H89</f>
        <v>20.4</v>
      </c>
      <c r="I68" s="79">
        <f>+I69+I81+I83+I86</f>
        <v>0</v>
      </c>
      <c r="J68" s="79">
        <v>0</v>
      </c>
      <c r="K68" s="79">
        <f>+K69+K81+K83+K86</f>
        <v>0</v>
      </c>
      <c r="L68" s="160">
        <v>0</v>
      </c>
      <c r="M68" s="1"/>
      <c r="N68" s="1"/>
      <c r="O68" s="1"/>
    </row>
    <row r="69" spans="1:15" ht="12.75">
      <c r="A69" s="54">
        <v>38</v>
      </c>
      <c r="B69" s="7" t="s">
        <v>101</v>
      </c>
      <c r="C69" s="50" t="s">
        <v>102</v>
      </c>
      <c r="D69" s="65"/>
      <c r="E69" s="79">
        <f t="shared" si="3"/>
        <v>18.8</v>
      </c>
      <c r="F69" s="79">
        <f t="shared" si="4"/>
        <v>18.7</v>
      </c>
      <c r="G69" s="79">
        <f>SUM(G70:G80)</f>
        <v>18.8</v>
      </c>
      <c r="H69" s="79">
        <f>SUM(H70:H80)</f>
        <v>18.7</v>
      </c>
      <c r="I69" s="79">
        <f>SUM(I70:I80)</f>
        <v>0</v>
      </c>
      <c r="J69" s="79">
        <v>0</v>
      </c>
      <c r="K69" s="79">
        <f>SUM(K70:K80)</f>
        <v>0</v>
      </c>
      <c r="L69" s="160">
        <v>0</v>
      </c>
      <c r="M69" s="1"/>
      <c r="N69" s="1"/>
      <c r="O69" s="1"/>
    </row>
    <row r="70" spans="1:15" ht="12.75">
      <c r="A70" s="54">
        <v>39</v>
      </c>
      <c r="B70" s="17"/>
      <c r="C70" s="172" t="s">
        <v>85</v>
      </c>
      <c r="D70" s="9" t="s">
        <v>105</v>
      </c>
      <c r="E70" s="78">
        <f aca="true" t="shared" si="5" ref="E70:F113">+G70+K70</f>
        <v>0.1</v>
      </c>
      <c r="F70" s="78">
        <f t="shared" si="5"/>
        <v>0.1</v>
      </c>
      <c r="G70" s="78">
        <v>0.1</v>
      </c>
      <c r="H70" s="78">
        <v>0.1</v>
      </c>
      <c r="I70" s="78"/>
      <c r="J70" s="78"/>
      <c r="K70" s="78"/>
      <c r="L70" s="143"/>
      <c r="M70" s="1"/>
      <c r="N70" s="1"/>
      <c r="O70" s="1"/>
    </row>
    <row r="71" spans="1:15" ht="12.75">
      <c r="A71" s="54">
        <v>40</v>
      </c>
      <c r="B71" s="17"/>
      <c r="C71" s="172" t="s">
        <v>268</v>
      </c>
      <c r="D71" s="9" t="s">
        <v>105</v>
      </c>
      <c r="E71" s="78">
        <f t="shared" si="5"/>
        <v>0.8</v>
      </c>
      <c r="F71" s="78">
        <f t="shared" si="5"/>
        <v>0.8</v>
      </c>
      <c r="G71" s="78">
        <v>0.8</v>
      </c>
      <c r="H71" s="78">
        <v>0.8</v>
      </c>
      <c r="I71" s="78"/>
      <c r="J71" s="78"/>
      <c r="K71" s="78"/>
      <c r="L71" s="143"/>
      <c r="M71" s="1"/>
      <c r="N71" s="1"/>
      <c r="O71" s="1"/>
    </row>
    <row r="72" spans="1:15" ht="12.75">
      <c r="A72" s="54">
        <v>41</v>
      </c>
      <c r="B72" s="17"/>
      <c r="C72" s="172" t="s">
        <v>273</v>
      </c>
      <c r="D72" s="9" t="s">
        <v>105</v>
      </c>
      <c r="E72" s="78">
        <f t="shared" si="5"/>
        <v>0.6</v>
      </c>
      <c r="F72" s="78">
        <f t="shared" si="5"/>
        <v>0.6</v>
      </c>
      <c r="G72" s="78">
        <v>0.6</v>
      </c>
      <c r="H72" s="78">
        <v>0.6</v>
      </c>
      <c r="I72" s="78"/>
      <c r="J72" s="78"/>
      <c r="K72" s="78"/>
      <c r="L72" s="143"/>
      <c r="M72" s="1"/>
      <c r="N72" s="1"/>
      <c r="O72" s="1"/>
    </row>
    <row r="73" spans="1:15" ht="25.5">
      <c r="A73" s="54">
        <v>42</v>
      </c>
      <c r="B73" s="17"/>
      <c r="C73" s="173" t="s">
        <v>222</v>
      </c>
      <c r="D73" s="9" t="s">
        <v>105</v>
      </c>
      <c r="E73" s="78">
        <f t="shared" si="5"/>
        <v>0.7</v>
      </c>
      <c r="F73" s="78">
        <f t="shared" si="5"/>
        <v>0.7</v>
      </c>
      <c r="G73" s="78">
        <v>0.7</v>
      </c>
      <c r="H73" s="78">
        <v>0.7</v>
      </c>
      <c r="I73" s="78"/>
      <c r="J73" s="78"/>
      <c r="K73" s="78"/>
      <c r="L73" s="143"/>
      <c r="M73" s="1"/>
      <c r="N73" s="1"/>
      <c r="O73" s="1"/>
    </row>
    <row r="74" spans="1:15" ht="14.25" customHeight="1">
      <c r="A74" s="54">
        <v>43</v>
      </c>
      <c r="B74" s="17"/>
      <c r="C74" s="32" t="s">
        <v>224</v>
      </c>
      <c r="D74" s="11" t="s">
        <v>157</v>
      </c>
      <c r="E74" s="78">
        <f t="shared" si="5"/>
        <v>0.9</v>
      </c>
      <c r="F74" s="78">
        <f t="shared" si="5"/>
        <v>0.9</v>
      </c>
      <c r="G74" s="78">
        <v>0.9</v>
      </c>
      <c r="H74" s="78">
        <v>0.9</v>
      </c>
      <c r="I74" s="78"/>
      <c r="J74" s="78"/>
      <c r="K74" s="78"/>
      <c r="L74" s="143"/>
      <c r="M74" s="1"/>
      <c r="N74" s="1"/>
      <c r="O74" s="1"/>
    </row>
    <row r="75" spans="1:15" ht="14.25" customHeight="1">
      <c r="A75" s="54">
        <v>44</v>
      </c>
      <c r="B75" s="17"/>
      <c r="C75" s="32" t="s">
        <v>271</v>
      </c>
      <c r="D75" s="11" t="s">
        <v>157</v>
      </c>
      <c r="E75" s="78">
        <f t="shared" si="5"/>
        <v>0.2</v>
      </c>
      <c r="F75" s="78">
        <f t="shared" si="5"/>
        <v>0.1</v>
      </c>
      <c r="G75" s="78">
        <v>0.2</v>
      </c>
      <c r="H75" s="78">
        <v>0.1</v>
      </c>
      <c r="I75" s="78"/>
      <c r="J75" s="78"/>
      <c r="K75" s="78"/>
      <c r="L75" s="143"/>
      <c r="M75" s="1"/>
      <c r="N75" s="1"/>
      <c r="O75" s="1"/>
    </row>
    <row r="76" spans="1:15" ht="14.25" customHeight="1">
      <c r="A76" s="54">
        <v>45</v>
      </c>
      <c r="B76" s="17"/>
      <c r="C76" s="32" t="s">
        <v>80</v>
      </c>
      <c r="D76" s="11" t="s">
        <v>157</v>
      </c>
      <c r="E76" s="78">
        <f t="shared" si="5"/>
        <v>0.1</v>
      </c>
      <c r="F76" s="78">
        <f t="shared" si="5"/>
        <v>0.1</v>
      </c>
      <c r="G76" s="78">
        <v>0.1</v>
      </c>
      <c r="H76" s="78">
        <v>0.1</v>
      </c>
      <c r="I76" s="78"/>
      <c r="J76" s="78"/>
      <c r="K76" s="78"/>
      <c r="L76" s="143"/>
      <c r="M76" s="1"/>
      <c r="N76" s="1"/>
      <c r="O76" s="1"/>
    </row>
    <row r="77" spans="1:15" ht="14.25" customHeight="1">
      <c r="A77" s="54">
        <v>46</v>
      </c>
      <c r="B77" s="17"/>
      <c r="C77" s="32" t="s">
        <v>192</v>
      </c>
      <c r="D77" s="9" t="s">
        <v>105</v>
      </c>
      <c r="E77" s="78">
        <f t="shared" si="5"/>
        <v>2.2</v>
      </c>
      <c r="F77" s="78">
        <f t="shared" si="5"/>
        <v>2.2</v>
      </c>
      <c r="G77" s="78">
        <v>2.2</v>
      </c>
      <c r="H77" s="78">
        <v>2.2</v>
      </c>
      <c r="I77" s="78"/>
      <c r="J77" s="78"/>
      <c r="K77" s="78"/>
      <c r="L77" s="143"/>
      <c r="M77" s="1"/>
      <c r="N77" s="1"/>
      <c r="O77" s="1"/>
    </row>
    <row r="78" spans="1:15" ht="14.25" customHeight="1">
      <c r="A78" s="54">
        <v>47</v>
      </c>
      <c r="B78" s="17"/>
      <c r="C78" s="32" t="s">
        <v>86</v>
      </c>
      <c r="D78" s="11" t="s">
        <v>107</v>
      </c>
      <c r="E78" s="78">
        <f t="shared" si="5"/>
        <v>0.1</v>
      </c>
      <c r="F78" s="78">
        <f t="shared" si="5"/>
        <v>0.1</v>
      </c>
      <c r="G78" s="78">
        <v>0.1</v>
      </c>
      <c r="H78" s="78">
        <v>0.1</v>
      </c>
      <c r="I78" s="78"/>
      <c r="J78" s="78"/>
      <c r="K78" s="78"/>
      <c r="L78" s="143"/>
      <c r="M78" s="1"/>
      <c r="N78" s="1"/>
      <c r="O78" s="1"/>
    </row>
    <row r="79" spans="1:15" ht="15" customHeight="1">
      <c r="A79" s="54">
        <v>48</v>
      </c>
      <c r="B79" s="17"/>
      <c r="C79" s="172" t="s">
        <v>193</v>
      </c>
      <c r="D79" s="11" t="s">
        <v>107</v>
      </c>
      <c r="E79" s="78">
        <f t="shared" si="5"/>
        <v>9.4</v>
      </c>
      <c r="F79" s="78">
        <f t="shared" si="5"/>
        <v>9.4</v>
      </c>
      <c r="G79" s="78">
        <v>9.4</v>
      </c>
      <c r="H79" s="78">
        <v>9.4</v>
      </c>
      <c r="I79" s="78"/>
      <c r="J79" s="78"/>
      <c r="K79" s="78"/>
      <c r="L79" s="143"/>
      <c r="M79" s="1"/>
      <c r="N79" s="1"/>
      <c r="O79" s="1"/>
    </row>
    <row r="80" spans="1:15" ht="12.75">
      <c r="A80" s="54">
        <v>49</v>
      </c>
      <c r="B80" s="17"/>
      <c r="C80" s="170" t="s">
        <v>170</v>
      </c>
      <c r="D80" s="9" t="s">
        <v>171</v>
      </c>
      <c r="E80" s="78">
        <f t="shared" si="5"/>
        <v>3.7</v>
      </c>
      <c r="F80" s="78">
        <f t="shared" si="5"/>
        <v>3.7</v>
      </c>
      <c r="G80" s="78">
        <v>3.7</v>
      </c>
      <c r="H80" s="78">
        <v>3.7</v>
      </c>
      <c r="I80" s="78"/>
      <c r="J80" s="78"/>
      <c r="K80" s="78"/>
      <c r="L80" s="143"/>
      <c r="M80" s="1"/>
      <c r="N80" s="1"/>
      <c r="O80" s="1"/>
    </row>
    <row r="81" spans="1:15" ht="12.75">
      <c r="A81" s="54">
        <v>50</v>
      </c>
      <c r="B81" s="7" t="s">
        <v>112</v>
      </c>
      <c r="C81" s="10" t="s">
        <v>113</v>
      </c>
      <c r="D81" s="9"/>
      <c r="E81" s="79">
        <f>+G81+K81</f>
        <v>0.4</v>
      </c>
      <c r="F81" s="79">
        <f>+H81+L81</f>
        <v>0.4</v>
      </c>
      <c r="G81" s="79">
        <f>SUM(G82:G82)</f>
        <v>0.4</v>
      </c>
      <c r="H81" s="79">
        <f>SUM(H82:H82)</f>
        <v>0.4</v>
      </c>
      <c r="I81" s="79">
        <f>SUM(I82:I82)</f>
        <v>0</v>
      </c>
      <c r="J81" s="79">
        <v>0</v>
      </c>
      <c r="K81" s="79">
        <f>SUM(K82:K82)</f>
        <v>0</v>
      </c>
      <c r="L81" s="157">
        <v>0</v>
      </c>
      <c r="M81" s="1"/>
      <c r="N81" s="1"/>
      <c r="O81" s="1"/>
    </row>
    <row r="82" spans="1:15" ht="25.5">
      <c r="A82" s="54">
        <v>51</v>
      </c>
      <c r="B82" s="17"/>
      <c r="C82" s="178" t="s">
        <v>94</v>
      </c>
      <c r="D82" s="71" t="s">
        <v>114</v>
      </c>
      <c r="E82" s="78">
        <f t="shared" si="5"/>
        <v>0.4</v>
      </c>
      <c r="F82" s="78">
        <f t="shared" si="5"/>
        <v>0.4</v>
      </c>
      <c r="G82" s="78">
        <v>0.4</v>
      </c>
      <c r="H82" s="78">
        <v>0.4</v>
      </c>
      <c r="I82" s="78"/>
      <c r="J82" s="78"/>
      <c r="K82" s="78"/>
      <c r="L82" s="143"/>
      <c r="M82" s="1"/>
      <c r="N82" s="1"/>
      <c r="O82" s="1"/>
    </row>
    <row r="83" spans="1:15" ht="12.75">
      <c r="A83" s="54">
        <v>52</v>
      </c>
      <c r="B83" s="7" t="s">
        <v>129</v>
      </c>
      <c r="C83" s="10" t="s">
        <v>130</v>
      </c>
      <c r="D83" s="9"/>
      <c r="E83" s="79">
        <f t="shared" si="5"/>
        <v>0.9</v>
      </c>
      <c r="F83" s="79">
        <f t="shared" si="5"/>
        <v>0.9</v>
      </c>
      <c r="G83" s="79">
        <f>SUM(G84:G85)</f>
        <v>0.9</v>
      </c>
      <c r="H83" s="79">
        <f>SUM(H84:H85)</f>
        <v>0.9</v>
      </c>
      <c r="I83" s="79">
        <f>SUM(I84:I84)</f>
        <v>0</v>
      </c>
      <c r="J83" s="79">
        <v>0</v>
      </c>
      <c r="K83" s="79">
        <f>SUM(K84:K84)</f>
        <v>0</v>
      </c>
      <c r="L83" s="157">
        <v>0</v>
      </c>
      <c r="M83" s="1"/>
      <c r="N83" s="1"/>
      <c r="O83" s="1"/>
    </row>
    <row r="84" spans="1:15" ht="12.75">
      <c r="A84" s="54">
        <v>53</v>
      </c>
      <c r="B84" s="17"/>
      <c r="C84" s="66" t="s">
        <v>90</v>
      </c>
      <c r="D84" s="9" t="s">
        <v>131</v>
      </c>
      <c r="E84" s="78">
        <f t="shared" si="5"/>
        <v>0.8</v>
      </c>
      <c r="F84" s="78">
        <f t="shared" si="5"/>
        <v>0.8</v>
      </c>
      <c r="G84" s="78">
        <v>0.8</v>
      </c>
      <c r="H84" s="78">
        <v>0.8</v>
      </c>
      <c r="I84" s="78"/>
      <c r="J84" s="78"/>
      <c r="K84" s="78"/>
      <c r="L84" s="143"/>
      <c r="M84" s="1"/>
      <c r="N84" s="1"/>
      <c r="O84" s="1"/>
    </row>
    <row r="85" spans="1:15" ht="25.5">
      <c r="A85" s="54">
        <v>54</v>
      </c>
      <c r="B85" s="17"/>
      <c r="C85" s="61" t="s">
        <v>93</v>
      </c>
      <c r="D85" s="9" t="s">
        <v>132</v>
      </c>
      <c r="E85" s="78">
        <f t="shared" si="5"/>
        <v>0.1</v>
      </c>
      <c r="F85" s="78">
        <f t="shared" si="5"/>
        <v>0.1</v>
      </c>
      <c r="G85" s="78">
        <v>0.1</v>
      </c>
      <c r="H85" s="78">
        <v>0.1</v>
      </c>
      <c r="I85" s="78"/>
      <c r="J85" s="78"/>
      <c r="K85" s="78"/>
      <c r="L85" s="143"/>
      <c r="M85" s="1"/>
      <c r="N85" s="1"/>
      <c r="O85" s="1"/>
    </row>
    <row r="86" spans="1:15" ht="12.75">
      <c r="A86" s="54">
        <v>55</v>
      </c>
      <c r="B86" s="7" t="s">
        <v>140</v>
      </c>
      <c r="C86" s="10" t="s">
        <v>141</v>
      </c>
      <c r="D86" s="71"/>
      <c r="E86" s="79">
        <f t="shared" si="5"/>
        <v>0.30000000000000004</v>
      </c>
      <c r="F86" s="79">
        <f t="shared" si="5"/>
        <v>0.30000000000000004</v>
      </c>
      <c r="G86" s="79">
        <f>SUM(G87:G88)</f>
        <v>0.30000000000000004</v>
      </c>
      <c r="H86" s="79">
        <f>SUM(H87:H88)</f>
        <v>0.30000000000000004</v>
      </c>
      <c r="I86" s="79">
        <f>SUM(I87:I87)</f>
        <v>0</v>
      </c>
      <c r="J86" s="79">
        <v>0</v>
      </c>
      <c r="K86" s="79">
        <f>SUM(K87:K87)</f>
        <v>0</v>
      </c>
      <c r="L86" s="157">
        <v>0</v>
      </c>
      <c r="M86" s="1"/>
      <c r="N86" s="1"/>
      <c r="O86" s="1"/>
    </row>
    <row r="87" spans="1:15" ht="25.5">
      <c r="A87" s="54">
        <v>56</v>
      </c>
      <c r="B87" s="7"/>
      <c r="C87" s="40" t="s">
        <v>7</v>
      </c>
      <c r="D87" s="71" t="s">
        <v>158</v>
      </c>
      <c r="E87" s="78">
        <f t="shared" si="5"/>
        <v>0.2</v>
      </c>
      <c r="F87" s="78">
        <f t="shared" si="5"/>
        <v>0.2</v>
      </c>
      <c r="G87" s="78">
        <v>0.2</v>
      </c>
      <c r="H87" s="78">
        <v>0.2</v>
      </c>
      <c r="I87" s="78"/>
      <c r="J87" s="78"/>
      <c r="K87" s="78"/>
      <c r="L87" s="143"/>
      <c r="M87" s="1"/>
      <c r="N87" s="1"/>
      <c r="O87" s="1"/>
    </row>
    <row r="88" spans="1:15" ht="25.5">
      <c r="A88" s="54">
        <v>57</v>
      </c>
      <c r="B88" s="7"/>
      <c r="C88" s="12" t="s">
        <v>6</v>
      </c>
      <c r="D88" s="71" t="s">
        <v>143</v>
      </c>
      <c r="E88" s="78">
        <f t="shared" si="5"/>
        <v>0.1</v>
      </c>
      <c r="F88" s="78">
        <f t="shared" si="5"/>
        <v>0.1</v>
      </c>
      <c r="G88" s="78">
        <v>0.1</v>
      </c>
      <c r="H88" s="78">
        <v>0.1</v>
      </c>
      <c r="I88" s="78"/>
      <c r="J88" s="78"/>
      <c r="K88" s="78"/>
      <c r="L88" s="143"/>
      <c r="M88" s="1"/>
      <c r="N88" s="1"/>
      <c r="O88" s="1"/>
    </row>
    <row r="89" spans="1:15" ht="12.75">
      <c r="A89" s="54">
        <v>58</v>
      </c>
      <c r="B89" s="7" t="s">
        <v>25</v>
      </c>
      <c r="C89" s="10" t="s">
        <v>26</v>
      </c>
      <c r="D89" s="71"/>
      <c r="E89" s="79">
        <f>+G89+K89</f>
        <v>0.1</v>
      </c>
      <c r="F89" s="79">
        <f>+H89+L89</f>
        <v>0.1</v>
      </c>
      <c r="G89" s="79">
        <f>SUM(G90)</f>
        <v>0.1</v>
      </c>
      <c r="H89" s="79">
        <f>SUM(H90)</f>
        <v>0.1</v>
      </c>
      <c r="I89" s="78"/>
      <c r="J89" s="78"/>
      <c r="K89" s="78"/>
      <c r="L89" s="143"/>
      <c r="M89" s="1"/>
      <c r="N89" s="1"/>
      <c r="O89" s="1"/>
    </row>
    <row r="90" spans="1:15" ht="25.5">
      <c r="A90" s="54">
        <v>59</v>
      </c>
      <c r="B90" s="7"/>
      <c r="C90" s="61" t="s">
        <v>8</v>
      </c>
      <c r="D90" s="28" t="s">
        <v>190</v>
      </c>
      <c r="E90" s="78">
        <f>+G90</f>
        <v>0.1</v>
      </c>
      <c r="F90" s="78">
        <f>+H90</f>
        <v>0.1</v>
      </c>
      <c r="G90" s="78">
        <v>0.1</v>
      </c>
      <c r="H90" s="78">
        <v>0.1</v>
      </c>
      <c r="I90" s="78"/>
      <c r="J90" s="78"/>
      <c r="K90" s="78"/>
      <c r="L90" s="143"/>
      <c r="M90" s="1"/>
      <c r="N90" s="1"/>
      <c r="O90" s="1"/>
    </row>
    <row r="91" spans="1:15" ht="25.5">
      <c r="A91" s="54">
        <v>60</v>
      </c>
      <c r="B91" s="17"/>
      <c r="C91" s="179" t="s">
        <v>213</v>
      </c>
      <c r="D91" s="71"/>
      <c r="E91" s="79">
        <f t="shared" si="5"/>
        <v>30.3</v>
      </c>
      <c r="F91" s="79">
        <f t="shared" si="5"/>
        <v>30.3</v>
      </c>
      <c r="G91" s="79">
        <f>+G92+G109</f>
        <v>30.3</v>
      </c>
      <c r="H91" s="79">
        <f>+H92+H109</f>
        <v>30.3</v>
      </c>
      <c r="I91" s="79">
        <f>+I92+I109</f>
        <v>0</v>
      </c>
      <c r="J91" s="79">
        <v>0</v>
      </c>
      <c r="K91" s="79">
        <f>+K92+K109</f>
        <v>0</v>
      </c>
      <c r="L91" s="160">
        <v>0</v>
      </c>
      <c r="M91" s="1"/>
      <c r="N91" s="1"/>
      <c r="O91" s="1"/>
    </row>
    <row r="92" spans="1:15" ht="12.75">
      <c r="A92" s="54">
        <v>61</v>
      </c>
      <c r="B92" s="7" t="s">
        <v>101</v>
      </c>
      <c r="C92" s="51" t="s">
        <v>102</v>
      </c>
      <c r="D92" s="65"/>
      <c r="E92" s="79">
        <f t="shared" si="5"/>
        <v>8</v>
      </c>
      <c r="F92" s="79">
        <f t="shared" si="5"/>
        <v>8</v>
      </c>
      <c r="G92" s="79">
        <f>SUM(G93:G108)</f>
        <v>8</v>
      </c>
      <c r="H92" s="79">
        <f>SUM(H93:H108)</f>
        <v>8</v>
      </c>
      <c r="I92" s="79">
        <f>SUM(I94:I107)</f>
        <v>0</v>
      </c>
      <c r="J92" s="79">
        <v>0</v>
      </c>
      <c r="K92" s="79">
        <f>SUM(K94:K107)</f>
        <v>0</v>
      </c>
      <c r="L92" s="157">
        <v>0</v>
      </c>
      <c r="M92" s="1"/>
      <c r="N92" s="1"/>
      <c r="O92" s="1"/>
    </row>
    <row r="93" spans="1:15" ht="12.75">
      <c r="A93" s="54">
        <v>62</v>
      </c>
      <c r="B93" s="7"/>
      <c r="C93" s="32" t="s">
        <v>95</v>
      </c>
      <c r="D93" s="9" t="s">
        <v>103</v>
      </c>
      <c r="E93" s="78">
        <f t="shared" si="5"/>
        <v>0.2</v>
      </c>
      <c r="F93" s="78">
        <f t="shared" si="5"/>
        <v>0.2</v>
      </c>
      <c r="G93" s="78">
        <v>0.2</v>
      </c>
      <c r="H93" s="78">
        <v>0.2</v>
      </c>
      <c r="I93" s="79"/>
      <c r="J93" s="79"/>
      <c r="K93" s="79"/>
      <c r="L93" s="143"/>
      <c r="M93" s="1"/>
      <c r="N93" s="1"/>
      <c r="O93" s="1"/>
    </row>
    <row r="94" spans="1:15" ht="12.75">
      <c r="A94" s="54">
        <v>63</v>
      </c>
      <c r="B94" s="17"/>
      <c r="C94" s="172" t="s">
        <v>616</v>
      </c>
      <c r="D94" s="9" t="s">
        <v>104</v>
      </c>
      <c r="E94" s="78">
        <f t="shared" si="5"/>
        <v>0.9</v>
      </c>
      <c r="F94" s="78">
        <f t="shared" si="5"/>
        <v>0.9</v>
      </c>
      <c r="G94" s="78">
        <v>0.9</v>
      </c>
      <c r="H94" s="78">
        <v>0.9</v>
      </c>
      <c r="I94" s="78"/>
      <c r="J94" s="78"/>
      <c r="K94" s="78"/>
      <c r="L94" s="143"/>
      <c r="M94" s="1"/>
      <c r="N94" s="1"/>
      <c r="O94" s="1"/>
    </row>
    <row r="95" spans="1:15" ht="12.75">
      <c r="A95" s="54">
        <v>64</v>
      </c>
      <c r="B95" s="17"/>
      <c r="C95" s="172" t="s">
        <v>74</v>
      </c>
      <c r="D95" s="9" t="s">
        <v>103</v>
      </c>
      <c r="E95" s="78">
        <f t="shared" si="5"/>
        <v>1.5</v>
      </c>
      <c r="F95" s="78">
        <f t="shared" si="5"/>
        <v>1.5</v>
      </c>
      <c r="G95" s="78">
        <v>1.5</v>
      </c>
      <c r="H95" s="78">
        <v>1.5</v>
      </c>
      <c r="I95" s="78"/>
      <c r="J95" s="78"/>
      <c r="K95" s="78"/>
      <c r="L95" s="143"/>
      <c r="M95" s="1"/>
      <c r="N95" s="1"/>
      <c r="O95" s="1"/>
    </row>
    <row r="96" spans="1:15" ht="12.75">
      <c r="A96" s="54">
        <v>65</v>
      </c>
      <c r="B96" s="17"/>
      <c r="C96" s="180" t="s">
        <v>84</v>
      </c>
      <c r="D96" s="9" t="s">
        <v>104</v>
      </c>
      <c r="E96" s="78">
        <f t="shared" si="5"/>
        <v>0.2</v>
      </c>
      <c r="F96" s="78">
        <f t="shared" si="5"/>
        <v>0.2</v>
      </c>
      <c r="G96" s="78">
        <v>0.2</v>
      </c>
      <c r="H96" s="78">
        <v>0.2</v>
      </c>
      <c r="I96" s="78"/>
      <c r="J96" s="78"/>
      <c r="K96" s="78"/>
      <c r="L96" s="143"/>
      <c r="M96" s="1"/>
      <c r="N96" s="1"/>
      <c r="O96" s="1"/>
    </row>
    <row r="97" spans="1:15" ht="12.75">
      <c r="A97" s="54">
        <v>66</v>
      </c>
      <c r="B97" s="17"/>
      <c r="C97" s="32" t="s">
        <v>85</v>
      </c>
      <c r="D97" s="9" t="s">
        <v>105</v>
      </c>
      <c r="E97" s="78">
        <f>+G97+K97</f>
        <v>0.2</v>
      </c>
      <c r="F97" s="78">
        <f>+H97+L97</f>
        <v>0.2</v>
      </c>
      <c r="G97" s="78">
        <v>0.2</v>
      </c>
      <c r="H97" s="78">
        <v>0.2</v>
      </c>
      <c r="I97" s="78"/>
      <c r="J97" s="78"/>
      <c r="K97" s="78"/>
      <c r="L97" s="143"/>
      <c r="M97" s="1"/>
      <c r="N97" s="1"/>
      <c r="O97" s="1"/>
    </row>
    <row r="98" spans="1:15" ht="12.75">
      <c r="A98" s="54">
        <v>67</v>
      </c>
      <c r="B98" s="17"/>
      <c r="C98" s="180" t="s">
        <v>268</v>
      </c>
      <c r="D98" s="9" t="s">
        <v>105</v>
      </c>
      <c r="E98" s="78">
        <f>+G98+K98</f>
        <v>0.1</v>
      </c>
      <c r="F98" s="78">
        <f>+H98+L98</f>
        <v>0.1</v>
      </c>
      <c r="G98" s="78">
        <v>0.1</v>
      </c>
      <c r="H98" s="78">
        <v>0.1</v>
      </c>
      <c r="I98" s="78"/>
      <c r="J98" s="78"/>
      <c r="K98" s="78"/>
      <c r="L98" s="143"/>
      <c r="M98" s="1"/>
      <c r="N98" s="1"/>
      <c r="O98" s="1"/>
    </row>
    <row r="99" spans="1:15" ht="12.75" customHeight="1">
      <c r="A99" s="54">
        <v>68</v>
      </c>
      <c r="B99" s="17"/>
      <c r="C99" s="32" t="s">
        <v>273</v>
      </c>
      <c r="D99" s="9" t="s">
        <v>105</v>
      </c>
      <c r="E99" s="78">
        <f t="shared" si="5"/>
        <v>0.4</v>
      </c>
      <c r="F99" s="78">
        <f t="shared" si="5"/>
        <v>0.4</v>
      </c>
      <c r="G99" s="78">
        <v>0.4</v>
      </c>
      <c r="H99" s="78">
        <v>0.4</v>
      </c>
      <c r="I99" s="78"/>
      <c r="J99" s="78"/>
      <c r="K99" s="78"/>
      <c r="L99" s="143"/>
      <c r="M99" s="1"/>
      <c r="N99" s="1"/>
      <c r="O99" s="1"/>
    </row>
    <row r="100" spans="1:15" ht="12.75">
      <c r="A100" s="54">
        <v>69</v>
      </c>
      <c r="B100" s="17"/>
      <c r="C100" s="32" t="s">
        <v>224</v>
      </c>
      <c r="D100" s="11" t="s">
        <v>157</v>
      </c>
      <c r="E100" s="78">
        <f t="shared" si="5"/>
        <v>0.3</v>
      </c>
      <c r="F100" s="78">
        <f t="shared" si="5"/>
        <v>0.3</v>
      </c>
      <c r="G100" s="78">
        <v>0.3</v>
      </c>
      <c r="H100" s="78">
        <v>0.3</v>
      </c>
      <c r="I100" s="78"/>
      <c r="J100" s="78"/>
      <c r="K100" s="78"/>
      <c r="L100" s="143"/>
      <c r="M100" s="1"/>
      <c r="N100" s="1"/>
      <c r="O100" s="1"/>
    </row>
    <row r="101" spans="1:15" ht="12.75">
      <c r="A101" s="54">
        <v>70</v>
      </c>
      <c r="B101" s="17"/>
      <c r="C101" s="180" t="s">
        <v>223</v>
      </c>
      <c r="D101" s="9" t="s">
        <v>106</v>
      </c>
      <c r="E101" s="78">
        <f t="shared" si="5"/>
        <v>0.4</v>
      </c>
      <c r="F101" s="78">
        <f t="shared" si="5"/>
        <v>0.4</v>
      </c>
      <c r="G101" s="78">
        <v>0.4</v>
      </c>
      <c r="H101" s="78">
        <v>0.4</v>
      </c>
      <c r="I101" s="78"/>
      <c r="J101" s="78"/>
      <c r="K101" s="78"/>
      <c r="L101" s="143"/>
      <c r="M101" s="1"/>
      <c r="N101" s="1"/>
      <c r="O101" s="1"/>
    </row>
    <row r="102" spans="1:15" ht="12.75">
      <c r="A102" s="54">
        <v>71</v>
      </c>
      <c r="B102" s="17"/>
      <c r="C102" s="173" t="s">
        <v>192</v>
      </c>
      <c r="D102" s="71" t="s">
        <v>107</v>
      </c>
      <c r="E102" s="78">
        <f t="shared" si="5"/>
        <v>0.2</v>
      </c>
      <c r="F102" s="78">
        <f t="shared" si="5"/>
        <v>0.2</v>
      </c>
      <c r="G102" s="78">
        <v>0.2</v>
      </c>
      <c r="H102" s="78">
        <v>0.2</v>
      </c>
      <c r="I102" s="78"/>
      <c r="J102" s="78"/>
      <c r="K102" s="78"/>
      <c r="L102" s="143"/>
      <c r="M102" s="1"/>
      <c r="N102" s="1"/>
      <c r="O102" s="1"/>
    </row>
    <row r="103" spans="1:15" ht="12.75">
      <c r="A103" s="54">
        <v>72</v>
      </c>
      <c r="B103" s="17"/>
      <c r="C103" s="32" t="s">
        <v>88</v>
      </c>
      <c r="D103" s="9" t="s">
        <v>106</v>
      </c>
      <c r="E103" s="78">
        <f t="shared" si="5"/>
        <v>0.1</v>
      </c>
      <c r="F103" s="78">
        <f t="shared" si="5"/>
        <v>0.1</v>
      </c>
      <c r="G103" s="78">
        <v>0.1</v>
      </c>
      <c r="H103" s="78">
        <v>0.1</v>
      </c>
      <c r="I103" s="78"/>
      <c r="J103" s="78"/>
      <c r="K103" s="78"/>
      <c r="L103" s="143"/>
      <c r="M103" s="1"/>
      <c r="N103" s="1"/>
      <c r="O103" s="1"/>
    </row>
    <row r="104" spans="1:15" ht="12.75">
      <c r="A104" s="54">
        <v>73</v>
      </c>
      <c r="B104" s="17"/>
      <c r="C104" s="181" t="s">
        <v>97</v>
      </c>
      <c r="D104" s="71" t="s">
        <v>107</v>
      </c>
      <c r="E104" s="78">
        <f t="shared" si="5"/>
        <v>1.5</v>
      </c>
      <c r="F104" s="78">
        <f t="shared" si="5"/>
        <v>1.5</v>
      </c>
      <c r="G104" s="78">
        <v>1.5</v>
      </c>
      <c r="H104" s="78">
        <v>1.5</v>
      </c>
      <c r="I104" s="78"/>
      <c r="J104" s="78"/>
      <c r="K104" s="78"/>
      <c r="L104" s="143"/>
      <c r="M104" s="1"/>
      <c r="N104" s="1"/>
      <c r="O104" s="1"/>
    </row>
    <row r="105" spans="1:15" ht="12.75">
      <c r="A105" s="54">
        <v>74</v>
      </c>
      <c r="B105" s="17"/>
      <c r="C105" s="181" t="s">
        <v>86</v>
      </c>
      <c r="D105" s="71" t="s">
        <v>107</v>
      </c>
      <c r="E105" s="78">
        <f t="shared" si="5"/>
        <v>0.9</v>
      </c>
      <c r="F105" s="78">
        <f t="shared" si="5"/>
        <v>0.9</v>
      </c>
      <c r="G105" s="78">
        <v>0.9</v>
      </c>
      <c r="H105" s="78">
        <v>0.9</v>
      </c>
      <c r="I105" s="78"/>
      <c r="J105" s="78"/>
      <c r="K105" s="78"/>
      <c r="L105" s="143"/>
      <c r="M105" s="1"/>
      <c r="N105" s="1"/>
      <c r="O105" s="1"/>
    </row>
    <row r="106" spans="1:15" ht="12.75">
      <c r="A106" s="54">
        <v>75</v>
      </c>
      <c r="B106" s="17"/>
      <c r="C106" s="181" t="s">
        <v>87</v>
      </c>
      <c r="D106" s="71" t="s">
        <v>107</v>
      </c>
      <c r="E106" s="78">
        <f t="shared" si="5"/>
        <v>0.9</v>
      </c>
      <c r="F106" s="78">
        <f t="shared" si="5"/>
        <v>0.9</v>
      </c>
      <c r="G106" s="78">
        <v>0.9</v>
      </c>
      <c r="H106" s="78">
        <v>0.9</v>
      </c>
      <c r="I106" s="78"/>
      <c r="J106" s="78"/>
      <c r="K106" s="78"/>
      <c r="L106" s="143"/>
      <c r="M106" s="1"/>
      <c r="N106" s="1"/>
      <c r="O106" s="1"/>
    </row>
    <row r="107" spans="1:15" ht="12.75" customHeight="1">
      <c r="A107" s="54">
        <v>76</v>
      </c>
      <c r="B107" s="17"/>
      <c r="C107" s="172" t="s">
        <v>193</v>
      </c>
      <c r="D107" s="71" t="s">
        <v>107</v>
      </c>
      <c r="E107" s="78">
        <f t="shared" si="5"/>
        <v>0</v>
      </c>
      <c r="F107" s="78">
        <f t="shared" si="5"/>
        <v>0</v>
      </c>
      <c r="G107" s="78"/>
      <c r="H107" s="78"/>
      <c r="I107" s="78"/>
      <c r="J107" s="78"/>
      <c r="K107" s="78"/>
      <c r="L107" s="143"/>
      <c r="M107" s="1"/>
      <c r="N107" s="1"/>
      <c r="O107" s="1"/>
    </row>
    <row r="108" spans="1:15" ht="12.75">
      <c r="A108" s="54">
        <v>77</v>
      </c>
      <c r="B108" s="17"/>
      <c r="C108" s="43" t="s">
        <v>15</v>
      </c>
      <c r="D108" s="9" t="s">
        <v>103</v>
      </c>
      <c r="E108" s="78">
        <f t="shared" si="5"/>
        <v>0.2</v>
      </c>
      <c r="F108" s="78">
        <f t="shared" si="5"/>
        <v>0.2</v>
      </c>
      <c r="G108" s="78">
        <v>0.2</v>
      </c>
      <c r="H108" s="78">
        <v>0.2</v>
      </c>
      <c r="I108" s="78"/>
      <c r="J108" s="78"/>
      <c r="K108" s="78"/>
      <c r="L108" s="143"/>
      <c r="M108" s="1"/>
      <c r="N108" s="1"/>
      <c r="O108" s="1"/>
    </row>
    <row r="109" spans="1:15" ht="12.75">
      <c r="A109" s="54">
        <v>78</v>
      </c>
      <c r="B109" s="7" t="s">
        <v>21</v>
      </c>
      <c r="C109" s="59" t="s">
        <v>22</v>
      </c>
      <c r="D109" s="71"/>
      <c r="E109" s="79">
        <f>+G109+K109</f>
        <v>22.3</v>
      </c>
      <c r="F109" s="79">
        <f>+H109+L109</f>
        <v>22.3</v>
      </c>
      <c r="G109" s="79">
        <f>SUM(G110:G113)</f>
        <v>22.3</v>
      </c>
      <c r="H109" s="79">
        <f>SUM(H110:H113)</f>
        <v>22.3</v>
      </c>
      <c r="I109" s="79">
        <f>SUM(I110:I112)</f>
        <v>0</v>
      </c>
      <c r="J109" s="79">
        <v>0</v>
      </c>
      <c r="K109" s="79">
        <f>SUM(K110:K112)</f>
        <v>0</v>
      </c>
      <c r="L109" s="157">
        <v>0</v>
      </c>
      <c r="M109" s="1"/>
      <c r="N109" s="1"/>
      <c r="O109" s="1"/>
    </row>
    <row r="110" spans="1:15" ht="12.75" customHeight="1">
      <c r="A110" s="54">
        <v>79</v>
      </c>
      <c r="B110" s="17"/>
      <c r="C110" s="181" t="s">
        <v>2</v>
      </c>
      <c r="D110" s="71" t="s">
        <v>120</v>
      </c>
      <c r="E110" s="78">
        <f t="shared" si="5"/>
        <v>20.6</v>
      </c>
      <c r="F110" s="78">
        <f t="shared" si="5"/>
        <v>20.6</v>
      </c>
      <c r="G110" s="78">
        <v>20.6</v>
      </c>
      <c r="H110" s="78">
        <v>20.6</v>
      </c>
      <c r="I110" s="78"/>
      <c r="J110" s="78"/>
      <c r="K110" s="78"/>
      <c r="L110" s="143"/>
      <c r="M110" s="1"/>
      <c r="N110" s="1"/>
      <c r="O110" s="1"/>
    </row>
    <row r="111" spans="1:15" ht="12.75" customHeight="1">
      <c r="A111" s="54">
        <v>80</v>
      </c>
      <c r="B111" s="17"/>
      <c r="C111" s="43" t="s">
        <v>15</v>
      </c>
      <c r="D111" s="28" t="s">
        <v>120</v>
      </c>
      <c r="E111" s="78">
        <f>+G111+K111</f>
        <v>0.7</v>
      </c>
      <c r="F111" s="78">
        <f>+H111+L111</f>
        <v>0.7</v>
      </c>
      <c r="G111" s="78">
        <v>0.7</v>
      </c>
      <c r="H111" s="78">
        <v>0.7</v>
      </c>
      <c r="I111" s="78"/>
      <c r="J111" s="78"/>
      <c r="K111" s="78"/>
      <c r="L111" s="143"/>
      <c r="M111" s="1"/>
      <c r="N111" s="1"/>
      <c r="O111" s="1"/>
    </row>
    <row r="112" spans="1:15" ht="12.75" customHeight="1">
      <c r="A112" s="54">
        <v>81</v>
      </c>
      <c r="B112" s="17"/>
      <c r="C112" s="43" t="s">
        <v>98</v>
      </c>
      <c r="D112" s="28" t="s">
        <v>120</v>
      </c>
      <c r="E112" s="78">
        <f t="shared" si="5"/>
        <v>0.6</v>
      </c>
      <c r="F112" s="78">
        <f t="shared" si="5"/>
        <v>0.6</v>
      </c>
      <c r="G112" s="78">
        <v>0.6</v>
      </c>
      <c r="H112" s="78">
        <v>0.6</v>
      </c>
      <c r="I112" s="78"/>
      <c r="J112" s="78"/>
      <c r="K112" s="78"/>
      <c r="L112" s="143"/>
      <c r="M112" s="1"/>
      <c r="N112" s="1"/>
      <c r="O112" s="1"/>
    </row>
    <row r="113" spans="1:15" ht="12.75" customHeight="1">
      <c r="A113" s="54">
        <v>82</v>
      </c>
      <c r="B113" s="17"/>
      <c r="C113" s="182" t="s">
        <v>586</v>
      </c>
      <c r="D113" s="28" t="s">
        <v>23</v>
      </c>
      <c r="E113" s="78">
        <f t="shared" si="5"/>
        <v>0.4</v>
      </c>
      <c r="F113" s="78">
        <f t="shared" si="5"/>
        <v>0.4</v>
      </c>
      <c r="G113" s="78">
        <v>0.4</v>
      </c>
      <c r="H113" s="78">
        <v>0.4</v>
      </c>
      <c r="I113" s="78"/>
      <c r="J113" s="78"/>
      <c r="K113" s="78"/>
      <c r="L113" s="143"/>
      <c r="M113" s="1"/>
      <c r="N113" s="1"/>
      <c r="O113" s="1"/>
    </row>
    <row r="114" spans="1:15" ht="12.75" customHeight="1">
      <c r="A114" s="54">
        <v>83</v>
      </c>
      <c r="B114" s="17"/>
      <c r="C114" s="95" t="s">
        <v>286</v>
      </c>
      <c r="D114" s="28"/>
      <c r="E114" s="79">
        <f aca="true" t="shared" si="6" ref="E114:F117">+G114+K114</f>
        <v>0.2</v>
      </c>
      <c r="F114" s="79">
        <f t="shared" si="6"/>
        <v>0.2</v>
      </c>
      <c r="G114" s="79">
        <f>+G115</f>
        <v>0.2</v>
      </c>
      <c r="H114" s="79">
        <f>+H115</f>
        <v>0.2</v>
      </c>
      <c r="I114" s="79">
        <f>+I115</f>
        <v>0.1</v>
      </c>
      <c r="J114" s="79">
        <f>+J115</f>
        <v>0.1</v>
      </c>
      <c r="K114" s="79">
        <f>+K115</f>
        <v>0</v>
      </c>
      <c r="L114" s="160">
        <v>0</v>
      </c>
      <c r="M114" s="1"/>
      <c r="N114" s="1"/>
      <c r="O114" s="1"/>
    </row>
    <row r="115" spans="1:15" ht="12.75" customHeight="1">
      <c r="A115" s="54">
        <v>84</v>
      </c>
      <c r="B115" s="7" t="s">
        <v>101</v>
      </c>
      <c r="C115" s="50" t="s">
        <v>102</v>
      </c>
      <c r="D115" s="28"/>
      <c r="E115" s="79">
        <f t="shared" si="6"/>
        <v>0.2</v>
      </c>
      <c r="F115" s="79">
        <f t="shared" si="6"/>
        <v>0.2</v>
      </c>
      <c r="G115" s="79">
        <f>SUM(G116)</f>
        <v>0.2</v>
      </c>
      <c r="H115" s="79">
        <f>SUM(H116)</f>
        <v>0.2</v>
      </c>
      <c r="I115" s="79">
        <f>SUM(I116)</f>
        <v>0.1</v>
      </c>
      <c r="J115" s="79">
        <f>SUM(J116)</f>
        <v>0.1</v>
      </c>
      <c r="K115" s="79">
        <f>SUM(K116)</f>
        <v>0</v>
      </c>
      <c r="L115" s="160">
        <v>0</v>
      </c>
      <c r="M115" s="1"/>
      <c r="N115" s="1"/>
      <c r="O115" s="1"/>
    </row>
    <row r="116" spans="1:15" ht="12.75" customHeight="1">
      <c r="A116" s="54">
        <v>85</v>
      </c>
      <c r="B116" s="17"/>
      <c r="C116" s="64" t="s">
        <v>3</v>
      </c>
      <c r="D116" s="28" t="s">
        <v>107</v>
      </c>
      <c r="E116" s="78">
        <f t="shared" si="6"/>
        <v>0.2</v>
      </c>
      <c r="F116" s="78">
        <f t="shared" si="6"/>
        <v>0.2</v>
      </c>
      <c r="G116" s="78">
        <v>0.2</v>
      </c>
      <c r="H116" s="78">
        <v>0.2</v>
      </c>
      <c r="I116" s="78">
        <v>0.1</v>
      </c>
      <c r="J116" s="78">
        <v>0.1</v>
      </c>
      <c r="K116" s="78"/>
      <c r="L116" s="143"/>
      <c r="M116" s="1"/>
      <c r="N116" s="1"/>
      <c r="O116" s="1"/>
    </row>
    <row r="117" spans="1:15" ht="12.75">
      <c r="A117" s="54">
        <v>86</v>
      </c>
      <c r="B117" s="17"/>
      <c r="C117" s="49" t="s">
        <v>20</v>
      </c>
      <c r="D117" s="71"/>
      <c r="E117" s="79">
        <f t="shared" si="6"/>
        <v>1081.7</v>
      </c>
      <c r="F117" s="79">
        <f t="shared" si="6"/>
        <v>519.2</v>
      </c>
      <c r="G117" s="79">
        <f aca="true" t="shared" si="7" ref="G117:L117">+G11+G47+G114</f>
        <v>344.7</v>
      </c>
      <c r="H117" s="79">
        <f t="shared" si="7"/>
        <v>305.5</v>
      </c>
      <c r="I117" s="79">
        <f t="shared" si="7"/>
        <v>0.1</v>
      </c>
      <c r="J117" s="79">
        <f t="shared" si="7"/>
        <v>0.1</v>
      </c>
      <c r="K117" s="79">
        <f t="shared" si="7"/>
        <v>737</v>
      </c>
      <c r="L117" s="79">
        <f t="shared" si="7"/>
        <v>213.70000000000002</v>
      </c>
      <c r="M117" s="1"/>
      <c r="N117" s="1"/>
      <c r="O117" s="1"/>
    </row>
    <row r="118" spans="5:8" ht="12.75">
      <c r="E118" s="89"/>
      <c r="F118" s="89"/>
      <c r="G118" s="89"/>
      <c r="H118" s="89"/>
    </row>
    <row r="119" spans="2:12" s="18" customFormat="1" ht="12.75">
      <c r="B119" s="22"/>
      <c r="C119" s="18" t="s">
        <v>195</v>
      </c>
      <c r="D119" s="23"/>
      <c r="E119" s="16"/>
      <c r="F119" s="16"/>
      <c r="G119" s="16"/>
      <c r="H119" s="16"/>
      <c r="I119" s="16"/>
      <c r="J119" s="16"/>
      <c r="K119" s="16"/>
      <c r="L119" s="60"/>
    </row>
    <row r="120" spans="2:11" s="18" customFormat="1" ht="12.75">
      <c r="B120" s="22"/>
      <c r="C120" s="23"/>
      <c r="D120" s="24"/>
      <c r="E120" s="16"/>
      <c r="F120" s="16"/>
      <c r="G120" s="15"/>
      <c r="H120" s="15"/>
      <c r="I120" s="15"/>
      <c r="J120" s="15"/>
      <c r="K120" s="15"/>
    </row>
    <row r="121" spans="5:11" ht="12.75">
      <c r="E121" s="16"/>
      <c r="F121" s="16"/>
      <c r="G121" s="34"/>
      <c r="H121" s="34"/>
      <c r="I121" s="34"/>
      <c r="J121" s="34"/>
      <c r="K121" s="34"/>
    </row>
    <row r="122" spans="5:11" ht="12.75">
      <c r="E122" s="16"/>
      <c r="F122" s="16"/>
      <c r="G122" s="34"/>
      <c r="H122" s="34"/>
      <c r="I122" s="34"/>
      <c r="J122" s="34"/>
      <c r="K122" s="34"/>
    </row>
    <row r="123" spans="5:6" ht="12.75">
      <c r="E123" s="89"/>
      <c r="F123" s="89"/>
    </row>
  </sheetData>
  <sheetProtection/>
  <mergeCells count="20">
    <mergeCell ref="G7:J7"/>
    <mergeCell ref="K7:L7"/>
    <mergeCell ref="A4:K4"/>
    <mergeCell ref="L8:L9"/>
    <mergeCell ref="E8:E9"/>
    <mergeCell ref="F8:F9"/>
    <mergeCell ref="G8:G9"/>
    <mergeCell ref="H8:H9"/>
    <mergeCell ref="I8:J8"/>
    <mergeCell ref="K8:K9"/>
    <mergeCell ref="K3:L3"/>
    <mergeCell ref="I2:L2"/>
    <mergeCell ref="C1:L1"/>
    <mergeCell ref="J5:L5"/>
    <mergeCell ref="A6:A9"/>
    <mergeCell ref="B6:B9"/>
    <mergeCell ref="C6:C9"/>
    <mergeCell ref="D6:D9"/>
    <mergeCell ref="E6:F7"/>
    <mergeCell ref="G6:L6"/>
  </mergeCells>
  <printOptions/>
  <pageMargins left="0.31496062992125984" right="0.07874015748031496" top="0.35433070866141736" bottom="0.1968503937007874"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V.Sirvaitiene</dc:creator>
  <cp:keywords/>
  <dc:description/>
  <cp:lastModifiedBy>Vartotoja</cp:lastModifiedBy>
  <cp:lastPrinted>2018-06-15T12:02:41Z</cp:lastPrinted>
  <dcterms:created xsi:type="dcterms:W3CDTF">1996-10-14T23:33:28Z</dcterms:created>
  <dcterms:modified xsi:type="dcterms:W3CDTF">2018-06-15T12:22:15Z</dcterms:modified>
  <cp:category/>
  <cp:version/>
  <cp:contentType/>
  <cp:contentStatus/>
</cp:coreProperties>
</file>