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3250" windowHeight="11790" tabRatio="897" activeTab="0"/>
  </bookViews>
  <sheets>
    <sheet name="1 pr" sheetId="1" r:id="rId1"/>
    <sheet name="2 pr" sheetId="2" r:id="rId2"/>
    <sheet name="3 pr" sheetId="3" r:id="rId3"/>
    <sheet name="4 pr" sheetId="4" r:id="rId4"/>
    <sheet name="5 pr" sheetId="5" r:id="rId5"/>
    <sheet name="6 pr" sheetId="6" r:id="rId6"/>
    <sheet name="7 pr" sheetId="7" r:id="rId7"/>
    <sheet name="8 pr" sheetId="8" r:id="rId8"/>
    <sheet name="9 pr" sheetId="9" r:id="rId9"/>
    <sheet name="10 pr" sheetId="10" r:id="rId10"/>
    <sheet name="11 pr" sheetId="11" r:id="rId11"/>
    <sheet name="12 pr" sheetId="12" r:id="rId12"/>
    <sheet name="13 pr" sheetId="13" r:id="rId13"/>
    <sheet name="14 pr" sheetId="14" r:id="rId14"/>
  </sheets>
  <definedNames>
    <definedName name="_xlnm.Print_Area" localSheetId="0">'1 pr'!$A$1:$D$88</definedName>
    <definedName name="_xlnm.Print_Area" localSheetId="9">'10 pr'!$A$1:$H$49</definedName>
    <definedName name="_xlnm.Print_Area" localSheetId="10">'11 pr'!$A$1:$H$120</definedName>
    <definedName name="_xlnm.Print_Area" localSheetId="11">'12 pr'!$A$1:$H$32</definedName>
    <definedName name="_xlnm.Print_Area" localSheetId="12">'13 pr'!$A$1:$H$29</definedName>
    <definedName name="_xlnm.Print_Area" localSheetId="13">'14 pr'!$A$1:$D$94</definedName>
    <definedName name="_xlnm.Print_Area" localSheetId="1">'2 pr'!$A$1:$G$69</definedName>
    <definedName name="_xlnm.Print_Area" localSheetId="2">'3 pr'!$A$1:$H$426</definedName>
    <definedName name="_xlnm.Print_Area" localSheetId="3">'4 pr'!$A$1:$H$61</definedName>
    <definedName name="_xlnm.Print_Area" localSheetId="4">'5 pr'!$A$1:$H$63</definedName>
    <definedName name="_xlnm.Print_Area" localSheetId="5">'6 pr'!$A$1:$H$48</definedName>
    <definedName name="_xlnm.Print_Area" localSheetId="6">'7 pr'!$A$1:$H$39</definedName>
    <definedName name="_xlnm.Print_Area" localSheetId="7">'8 pr'!$A$1:$H$121</definedName>
    <definedName name="_xlnm.Print_Area" localSheetId="8">'9 pr'!$A$1:$H$49</definedName>
    <definedName name="_xlnm.Print_Titles" localSheetId="0">'1 pr'!$7:$7</definedName>
    <definedName name="_xlnm.Print_Titles" localSheetId="9">'10 pr'!$10:$10</definedName>
    <definedName name="_xlnm.Print_Titles" localSheetId="10">'11 pr'!$10:$10</definedName>
    <definedName name="_xlnm.Print_Titles" localSheetId="11">'12 pr'!$10:$10</definedName>
    <definedName name="_xlnm.Print_Titles" localSheetId="12">'13 pr'!$10:$10</definedName>
    <definedName name="_xlnm.Print_Titles" localSheetId="13">'14 pr'!$11:$11</definedName>
    <definedName name="_xlnm.Print_Titles" localSheetId="1">'2 pr'!$9:$9</definedName>
    <definedName name="_xlnm.Print_Titles" localSheetId="2">'3 pr'!$10:$10</definedName>
    <definedName name="_xlnm.Print_Titles" localSheetId="3">'4 pr'!$9:$9</definedName>
    <definedName name="_xlnm.Print_Titles" localSheetId="4">'5 pr'!$11:$11</definedName>
    <definedName name="_xlnm.Print_Titles" localSheetId="5">'6 pr'!$11:$11</definedName>
    <definedName name="_xlnm.Print_Titles" localSheetId="6">'7 pr'!$10:$10</definedName>
    <definedName name="_xlnm.Print_Titles" localSheetId="7">'8 pr'!$11:$11</definedName>
    <definedName name="_xlnm.Print_Titles" localSheetId="8">'9 pr'!$10:$10</definedName>
  </definedNames>
  <calcPr fullCalcOnLoad="1"/>
</workbook>
</file>

<file path=xl/sharedStrings.xml><?xml version="1.0" encoding="utf-8"?>
<sst xmlns="http://schemas.openxmlformats.org/spreadsheetml/2006/main" count="2224" uniqueCount="947">
  <si>
    <t>Eil. Nr.</t>
  </si>
  <si>
    <t>Kėdainių bendruomenės socialinis centras</t>
  </si>
  <si>
    <t>Dotnuvos slaugos namai</t>
  </si>
  <si>
    <t xml:space="preserve">Kėdainių rajono savivaldybės administracija </t>
  </si>
  <si>
    <t>Kėdainių rajono savivaldybės administracijos Dotnuvos seniūnija</t>
  </si>
  <si>
    <t>Kėdainių rajono savivaldybės administracijos Gudžiūnų seniūnija</t>
  </si>
  <si>
    <t>Kėdainių rajono savivaldybės administracijos Krakių seniūnija</t>
  </si>
  <si>
    <t>Kėdainių rajono savivaldybės administracijos Josvainių seniūnija</t>
  </si>
  <si>
    <t>Kėdainių rajono savivaldybės administracijos Kėdainių miesto seniūnija</t>
  </si>
  <si>
    <t>Kėdainių rajono savivaldybės administracijos Pelėdnagių seniūnija</t>
  </si>
  <si>
    <t>Kėdainių rajono savivaldybės administracijos Pernaravos seniūnija</t>
  </si>
  <si>
    <t>Kėdainių rajono savivaldybės administracijos Šėtos seniūnija</t>
  </si>
  <si>
    <t>Kėdainių rajono savivaldybės administracijos Surviliškio seniūnija</t>
  </si>
  <si>
    <t>Kėdainių rajono savivaldybės administracijos Truskavos seniūnija</t>
  </si>
  <si>
    <t>Kėdainių rajono savivaldybės administracijos Vilainių seniūnija</t>
  </si>
  <si>
    <t>Josvainių socialinis ir ugdymo centras</t>
  </si>
  <si>
    <t>Asignavimų valdytojas</t>
  </si>
  <si>
    <t>Iš viso</t>
  </si>
  <si>
    <t>Iš jų:</t>
  </si>
  <si>
    <t>Išlaidoms</t>
  </si>
  <si>
    <t>2</t>
  </si>
  <si>
    <t>Šėtos socialinis ir ugdymo  centras</t>
  </si>
  <si>
    <t>Iš viso asignavimų</t>
  </si>
  <si>
    <t>03</t>
  </si>
  <si>
    <t>SOCIALINĖS APSAUGOS PLĖTOJIMAS</t>
  </si>
  <si>
    <t>10.04.01.01</t>
  </si>
  <si>
    <t>10.01.02.02</t>
  </si>
  <si>
    <t>11</t>
  </si>
  <si>
    <t>SAVIVALDYBĖS VALDYMO TOBULINIMAS</t>
  </si>
  <si>
    <t>Kėdainių rajono savivaldybės priešgaisrinė tarnyba</t>
  </si>
  <si>
    <t>03.02.01.01</t>
  </si>
  <si>
    <t>Eil.Nr.</t>
  </si>
  <si>
    <t>Programos Nr.</t>
  </si>
  <si>
    <t>turtui įsigyti</t>
  </si>
  <si>
    <t>iš viso</t>
  </si>
  <si>
    <t>iš jų darbo užmokesčiui</t>
  </si>
  <si>
    <t xml:space="preserve">             Pajamų pavadinimas</t>
  </si>
  <si>
    <t>Žemės mokestis</t>
  </si>
  <si>
    <t>Įmonių ir organizacijų nekilnojamojo turto mokestis</t>
  </si>
  <si>
    <t>Paveldimo turto mokestis</t>
  </si>
  <si>
    <t>Mokestis už aplinkos teršimą</t>
  </si>
  <si>
    <t>Vietinės rinkliavos</t>
  </si>
  <si>
    <t>Valstybės rinkliava</t>
  </si>
  <si>
    <t xml:space="preserve">Nuomos mokestis už valstybinę žemę ir valstybinio vidaus  vandenų fondo vandens telkinius  </t>
  </si>
  <si>
    <t>Mokestis už medžiojamų gyvūnų išteklių naudojimą</t>
  </si>
  <si>
    <t>Pajamos už patalpų nuomą</t>
  </si>
  <si>
    <t>Pajamos už atsitiktines  paslaugas</t>
  </si>
  <si>
    <t xml:space="preserve">Įmokos už išlaikymą švietimo, socialinės apsaugos ir kitose  įstaigose </t>
  </si>
  <si>
    <t>Materialiojo ir nematerialiojo turto realizavimo pajamos</t>
  </si>
  <si>
    <t>Mokinio krepšeliui finansuoti</t>
  </si>
  <si>
    <t xml:space="preserve">     socialinėms išmokoms ir kompensacijoms skaičiuoti ir mokėti </t>
  </si>
  <si>
    <t xml:space="preserve">     socialinei paramai mokiniams </t>
  </si>
  <si>
    <t xml:space="preserve">     melioracijai</t>
  </si>
  <si>
    <t>Bendrosios dotacijos kompensacija</t>
  </si>
  <si>
    <t>Funkcinis kodas</t>
  </si>
  <si>
    <t>Valstybinėms (perduotoms savivaldybėms) funkcijoms</t>
  </si>
  <si>
    <t>4</t>
  </si>
  <si>
    <t>03.1</t>
  </si>
  <si>
    <t>Socialinėms paslaugoms:
Socialinei globai asmenims su sunkia negalia</t>
  </si>
  <si>
    <t>03.2</t>
  </si>
  <si>
    <t>Socialinėms paslaugoms:
 Socialinei priežiūrai socialinės rizikos šeimoms</t>
  </si>
  <si>
    <t>03.3</t>
  </si>
  <si>
    <t>03.4</t>
  </si>
  <si>
    <t>10.04.01.40</t>
  </si>
  <si>
    <t>09</t>
  </si>
  <si>
    <t xml:space="preserve"> ŽEMĖS ŪKIO PLĖTRA IR MELIORACIJA</t>
  </si>
  <si>
    <t>09.1</t>
  </si>
  <si>
    <t>Žemės ūkio funkcijoms vykdyti</t>
  </si>
  <si>
    <t>09.2</t>
  </si>
  <si>
    <t>04.02.01.01</t>
  </si>
  <si>
    <t>11.1</t>
  </si>
  <si>
    <t>Priešgaisrinių tarnybų organizavimas</t>
  </si>
  <si>
    <t>11.2</t>
  </si>
  <si>
    <t>Gyventojų registro tvarkymas ir duomenų valstybės registrui teikimas</t>
  </si>
  <si>
    <t>01.03.03.02</t>
  </si>
  <si>
    <t>11.3</t>
  </si>
  <si>
    <t>Archyvinių dokumentų tvarkymas</t>
  </si>
  <si>
    <t>11.4</t>
  </si>
  <si>
    <t>Civilinės būklės aktų registravimas</t>
  </si>
  <si>
    <t>11.5</t>
  </si>
  <si>
    <t>Civilinės saugos organizavimas</t>
  </si>
  <si>
    <t>02.02.01.01</t>
  </si>
  <si>
    <t>11.6</t>
  </si>
  <si>
    <t>Valstybinės kalbos vartojimo ir taisyklingumo kontrolė</t>
  </si>
  <si>
    <t>01.06.01.03</t>
  </si>
  <si>
    <t>11.7</t>
  </si>
  <si>
    <t>11.8</t>
  </si>
  <si>
    <t>Mobilizacijos administravimas</t>
  </si>
  <si>
    <t>11.9</t>
  </si>
  <si>
    <t>01.06.01.02</t>
  </si>
  <si>
    <t>11.10</t>
  </si>
  <si>
    <t>Pirminė teisinė pagalba</t>
  </si>
  <si>
    <t>11.11</t>
  </si>
  <si>
    <t>Duomenų teikimas Valstybės suteiktos pagalbos registrui</t>
  </si>
  <si>
    <t>11.12</t>
  </si>
  <si>
    <t>Gyvenamosios vietos deklaravimas</t>
  </si>
  <si>
    <t>11.13</t>
  </si>
  <si>
    <t>Darbo rinkos politikos rengimas ir įgyvendinimas</t>
  </si>
  <si>
    <t>04.01.02.01</t>
  </si>
  <si>
    <t>Valstybinės žemės ir kito valstybinio turto valdymas, naudojimas ir disponavimas juo patikėjimo teise</t>
  </si>
  <si>
    <t xml:space="preserve">     socialinėms paslaugoms</t>
  </si>
  <si>
    <t>2 priedas</t>
  </si>
  <si>
    <t>Aisgnavimų valdytojas</t>
  </si>
  <si>
    <t>Kėdainių lopšelis-darželis "Varpelis"</t>
  </si>
  <si>
    <t>Kėdainių lopšelis-darželis "Vyturėlis"</t>
  </si>
  <si>
    <t>Kėdainių mokykla-darželis "Vaikystė"</t>
  </si>
  <si>
    <t>Kėdainių "Atžalyno" gimnazija</t>
  </si>
  <si>
    <t>Kėdainių r. Krakių Mikalojaus Katkaus gimnazija</t>
  </si>
  <si>
    <t>Kėdainių r. Dotnuvos pagrindinė mokykla</t>
  </si>
  <si>
    <t>Kėdainių r. Surviliškio Vinco Svirskio pagrindinė mokykla</t>
  </si>
  <si>
    <t>Kėdainių krašto muziejus</t>
  </si>
  <si>
    <t>Kėdainių kultūros centras</t>
  </si>
  <si>
    <t>Krakių kultūros centras</t>
  </si>
  <si>
    <t>Iš viso pajamų</t>
  </si>
  <si>
    <t>Kėdainių rajono Vilainių mokykla-darželis "Obelėlė"</t>
  </si>
  <si>
    <t>Kėdainių šviesioji gimnazija</t>
  </si>
  <si>
    <t>Kėdainių kalbų mokykla</t>
  </si>
  <si>
    <t>Kėdainių muzikos  mokykla</t>
  </si>
  <si>
    <t>Kėdainių specialioji mokykla</t>
  </si>
  <si>
    <t>Akademijos kultūros centras</t>
  </si>
  <si>
    <t>Josvainių kultūros centras</t>
  </si>
  <si>
    <t>Šėtos kultūros centras</t>
  </si>
  <si>
    <t>Truskavos kultūros centras</t>
  </si>
  <si>
    <t>Kėdainių rajono savivaldybės Mikalojaus Daukšos viešoji biblioteka</t>
  </si>
  <si>
    <t>Kėdainių rajono savivaldybės visuomenės sveikatos biuras</t>
  </si>
  <si>
    <t>Kėdainių lopšelis-darželis "Pasaka"</t>
  </si>
  <si>
    <t>Kėdainių lopšelis-darželis "Žilvitis"</t>
  </si>
  <si>
    <t>Kėdainių dailės mokykla</t>
  </si>
  <si>
    <t xml:space="preserve">Šėtos socialinis ir ugdymo centras </t>
  </si>
  <si>
    <t>5 priedas</t>
  </si>
  <si>
    <t>Programos kodas</t>
  </si>
  <si>
    <t>Funkcijos kodas</t>
  </si>
  <si>
    <t>Turtui įsigyti</t>
  </si>
  <si>
    <t>Iš jų darbo užmokesčiui</t>
  </si>
  <si>
    <t>01</t>
  </si>
  <si>
    <t>ŠVIETIMAS IR UGDYMAS</t>
  </si>
  <si>
    <t>09.01.01.01</t>
  </si>
  <si>
    <t>09.01.02.01</t>
  </si>
  <si>
    <t>09.02.02.01</t>
  </si>
  <si>
    <t>09.02.01.01</t>
  </si>
  <si>
    <t>09.05.01.01</t>
  </si>
  <si>
    <t xml:space="preserve">Kėdainių rajono savivaldybės administracija iš viso </t>
  </si>
  <si>
    <t>iš jų :</t>
  </si>
  <si>
    <t>09.08.01.01</t>
  </si>
  <si>
    <t>09.06.01.01</t>
  </si>
  <si>
    <t>02</t>
  </si>
  <si>
    <t>SVEIKATOS APSAUGA</t>
  </si>
  <si>
    <t>07.04.01.02</t>
  </si>
  <si>
    <t>07.01.03.01</t>
  </si>
  <si>
    <t>07.02.03.01</t>
  </si>
  <si>
    <t>07.03.01.01</t>
  </si>
  <si>
    <t>07.06.01.02</t>
  </si>
  <si>
    <t>10.01.02.02
10.07.01.01
10.09.01.01</t>
  </si>
  <si>
    <t>10.02.01.02</t>
  </si>
  <si>
    <t>iš jų:</t>
  </si>
  <si>
    <t>10.07.01.01</t>
  </si>
  <si>
    <t>10.06.01.01</t>
  </si>
  <si>
    <t>09.06.01.01
10.01.02.40
10.02.01.40</t>
  </si>
  <si>
    <t>10.01.02.40</t>
  </si>
  <si>
    <t>04</t>
  </si>
  <si>
    <t>KŪNO KULTŪROS IR SPORTO PLĖTRA</t>
  </si>
  <si>
    <t>08.01.01.03</t>
  </si>
  <si>
    <t>05</t>
  </si>
  <si>
    <t>KULTŪROS VEIKLOS PLĖTRA</t>
  </si>
  <si>
    <t>08.02.01.08</t>
  </si>
  <si>
    <t>08.02.01.01</t>
  </si>
  <si>
    <t>08.02.01.02</t>
  </si>
  <si>
    <t>08.04.01.01</t>
  </si>
  <si>
    <t>07</t>
  </si>
  <si>
    <t>INFRASTRUKTŪROS OBJEKTŲ  PRIEŽIŪRA IR PLĖTRA</t>
  </si>
  <si>
    <t>06.04.01.01</t>
  </si>
  <si>
    <t>04.05.01.02 06.04.01.01</t>
  </si>
  <si>
    <t>06.01.01.01</t>
  </si>
  <si>
    <t>08</t>
  </si>
  <si>
    <t>APLINKOS APSAUGA</t>
  </si>
  <si>
    <t xml:space="preserve">05.01.01.01
06.02.01.01                       </t>
  </si>
  <si>
    <t>05.01.01.01</t>
  </si>
  <si>
    <t xml:space="preserve">05.01.01.01  05.02.01.01
06.03.01.01                       </t>
  </si>
  <si>
    <t xml:space="preserve">05.01.01.01               </t>
  </si>
  <si>
    <t>Rajono komunalinių atliekų tvarkytojui</t>
  </si>
  <si>
    <t>10</t>
  </si>
  <si>
    <t>PARAMA VERSLUI IR VERSLO PLĖTRA</t>
  </si>
  <si>
    <t>04.01.01.01</t>
  </si>
  <si>
    <t>Kėdainių rajono savivaldybės kontrolės ir audito tarnyba</t>
  </si>
  <si>
    <t xml:space="preserve">Kėdainių rajono savivaldybės administracija  </t>
  </si>
  <si>
    <t>03.01.01.01</t>
  </si>
  <si>
    <t>04.05.01.01</t>
  </si>
  <si>
    <t>Palūkanos bankui</t>
  </si>
  <si>
    <t>01.07.01.01</t>
  </si>
  <si>
    <t>6 priedas</t>
  </si>
  <si>
    <t>išlaidoms</t>
  </si>
  <si>
    <t xml:space="preserve">09.02.01.01   </t>
  </si>
  <si>
    <t>06.02.01.01</t>
  </si>
  <si>
    <t xml:space="preserve">                                                                 ___________________________________________</t>
  </si>
  <si>
    <t>Asignavimai už atsitiktines paslaugas</t>
  </si>
  <si>
    <t>10.01.02.02 10.07.01.01</t>
  </si>
  <si>
    <t xml:space="preserve">05.01.01.01 </t>
  </si>
  <si>
    <t xml:space="preserve">                                                             ____________________________________</t>
  </si>
  <si>
    <t xml:space="preserve">                                                                    ___________________________________________</t>
  </si>
  <si>
    <t>Iš jų</t>
  </si>
  <si>
    <t>3</t>
  </si>
  <si>
    <t>01.1</t>
  </si>
  <si>
    <t>Specialioji tikslinė dotacija mokinio krepšeliui finansuoti</t>
  </si>
  <si>
    <t xml:space="preserve">     Brandos egzaminams finansuoti</t>
  </si>
  <si>
    <t>Šėtos socialinis ir ugdymo centras</t>
  </si>
  <si>
    <t>01.2</t>
  </si>
  <si>
    <t xml:space="preserve">Vilainių seniūnijai </t>
  </si>
  <si>
    <t xml:space="preserve">Dotnuvos seniūnijai </t>
  </si>
  <si>
    <t xml:space="preserve">Gudžiūnų seniūnijai </t>
  </si>
  <si>
    <t xml:space="preserve">Josvainių seniūnijai </t>
  </si>
  <si>
    <t xml:space="preserve">Kėdainių miesto seniūnijai </t>
  </si>
  <si>
    <t>Krakių seniūnijai</t>
  </si>
  <si>
    <t>Pelėdnagių seniūnijai</t>
  </si>
  <si>
    <t xml:space="preserve">Pernaravos seniūnijai </t>
  </si>
  <si>
    <t>Surviliškio seniūnijai</t>
  </si>
  <si>
    <t>Šėtos seniūnijai</t>
  </si>
  <si>
    <t>Truskavos seniūnijai</t>
  </si>
  <si>
    <t>Kitos išlaidos</t>
  </si>
  <si>
    <t xml:space="preserve">10.02.01.02 </t>
  </si>
  <si>
    <t>Kėdainių švietimo pagalbos tarnyba</t>
  </si>
  <si>
    <t>09.05.01.03</t>
  </si>
  <si>
    <t>Kėdainių švietimo pagalbos tarnyba iš viso:</t>
  </si>
  <si>
    <t xml:space="preserve">     Kėdainių švietimo pagalbos tarnyba (pedagoginė - psichologinė tarnyba)</t>
  </si>
  <si>
    <t>Jūrinių erelių perimvečių stebėjimui Kėdainių rajone</t>
  </si>
  <si>
    <t xml:space="preserve">     dalyvauti rengiant ir vykdant mobilizaciją</t>
  </si>
  <si>
    <t xml:space="preserve">     valstybinės kalbos vartojimo ir taisyklingumo kontrolei</t>
  </si>
  <si>
    <t xml:space="preserve">     valstybės garantuojamai pirminei teisinei pagalbai teikti</t>
  </si>
  <si>
    <t xml:space="preserve">     gyventojų registrui tvarkyti ir duomenims valstybės registrams teikti</t>
  </si>
  <si>
    <t xml:space="preserve">     civilinei saugai</t>
  </si>
  <si>
    <t xml:space="preserve">     priešgaisrinei saugai</t>
  </si>
  <si>
    <t xml:space="preserve">     gyvenamosios vietos deklaravimo duomenų ir gyvenamosios vietos neturinčių asmenų apskaitos duomenims tvarkyti</t>
  </si>
  <si>
    <t xml:space="preserve">     savivaldybei priskirtai valstybinei žemei ir kitam valstybės turtui valdyti, naudoti ir disponuoti juo patikėjimo teise</t>
  </si>
  <si>
    <t xml:space="preserve">     žemės ūkio funkcijoms atlikti</t>
  </si>
  <si>
    <t xml:space="preserve">     savivaldybėms priskirtiems archyviniems dokumentams tvarkyti</t>
  </si>
  <si>
    <t xml:space="preserve">      dalyvauti rengiant ir įgyvendinant darbo rinkos politikos priemones ir gyventojų užimtumo programas</t>
  </si>
  <si>
    <t xml:space="preserve">      civilinės būklės aktams registruoti</t>
  </si>
  <si>
    <t xml:space="preserve">     duomenų teikimas Valstybės suteiktos pagalbos registrui</t>
  </si>
  <si>
    <t xml:space="preserve">     vaikų teisių apsaugai</t>
  </si>
  <si>
    <t xml:space="preserve">     jaunimo teisių apsaugai</t>
  </si>
  <si>
    <t>Vaikų teisių apsauga</t>
  </si>
  <si>
    <t>Jaunimo teisių apsauga</t>
  </si>
  <si>
    <t>11.14</t>
  </si>
  <si>
    <t>06</t>
  </si>
  <si>
    <t>KULTŪROS PAVELDO IŠSAUGOJIMAS, TURIZMO SKATINIMAS IR VYSTYMAS</t>
  </si>
  <si>
    <t>04.07.03.01</t>
  </si>
  <si>
    <t>10.01.02.01</t>
  </si>
  <si>
    <t>Kėdainių lopšelis-darželis "Aviliukas"</t>
  </si>
  <si>
    <t>Išlaidoms už įsigytus produktus, mokinio reikmenis ir socialinei paramai mokiniams administruoti</t>
  </si>
  <si>
    <t xml:space="preserve">1. Informacija apie Savivaldybės aplinkos apsaugos rėmimo specialiosios </t>
  </si>
  <si>
    <t>programos (toliau - Programa) lėšas</t>
  </si>
  <si>
    <t>(1) Programos finansavimo šaltiniai</t>
  </si>
  <si>
    <t>Mokesčiai už teršalų išmetimą į aplinką</t>
  </si>
  <si>
    <t>Mokesčiai už valstybinius gamtos išteklius</t>
  </si>
  <si>
    <t>Lėšos, gautos kaip želdinių atkuriamosios vertės kompensacija</t>
  </si>
  <si>
    <t>Savanoriškos juridinių ir fizinių asmenų įmokos ir kitos teisėtai gautos lėšos</t>
  </si>
  <si>
    <t>Iš viso (1.1 + 1.2 + 1.3 + 1.4):</t>
  </si>
  <si>
    <t>Mokesčiai, sumokėti už medžiojamųjų gyvūnų išteklių naudojimą</t>
  </si>
  <si>
    <t xml:space="preserve">Ankstesnio ataskaitinio laikotarpio ataskaitos atitinkamų lėšų likutis </t>
  </si>
  <si>
    <t>Iš viso (1.6 + 1.7):</t>
  </si>
  <si>
    <t>Faktinės Programos lėšos (1.5 + 1.8)</t>
  </si>
  <si>
    <t>(2) Savivaldybės visuomenės sveikatos rėmimo specialiajai programai skirtinos lėšos</t>
  </si>
  <si>
    <t>Iš viso (1.10 + 1.11):</t>
  </si>
  <si>
    <t>(3) Kitoms Programos priemonėms skirtinos lėšos</t>
  </si>
  <si>
    <t>Iš viso (1.13 + 1.14):</t>
  </si>
  <si>
    <t>Priemonės pavadinimas</t>
  </si>
  <si>
    <t xml:space="preserve">Iš viso: </t>
  </si>
  <si>
    <t>Programos pavadinimas</t>
  </si>
  <si>
    <t>Savivaldybės visuomenės sveikatos rėmimo specialioji programa</t>
  </si>
  <si>
    <t>4. Kitos aplinkosaugos priemonės, kurioms įgyvendinti panaudotos programos lėšos</t>
  </si>
  <si>
    <t>Aplinkos kokybės gerinimo ir apsaugos priemonės</t>
  </si>
  <si>
    <t>Kraujupio upelio minimaliam debitui papildyti Nevėžio upės vandeniu</t>
  </si>
  <si>
    <t>Aplinkos monitoringo, prevencinės, aplinkos atkūrimo priemonės</t>
  </si>
  <si>
    <t>Visuomenės švietimo ir mokymo aplinkosaugos klausimais priemonės</t>
  </si>
  <si>
    <t>Konkursui „Gražiausiai tvarkoma aplinka“ rengti</t>
  </si>
  <si>
    <t>Želdynų ir želdinių apsaugos, tvarkymo, būklės stebėsenos, želdynų kūrimo, želdinių veisimo ir inventorizavimo priemonės</t>
  </si>
  <si>
    <t>Medeliams ir želdiniams sodinti ir prižiūrėti:</t>
  </si>
  <si>
    <t>Kitos neišvardytos pajamos</t>
  </si>
  <si>
    <t>Specialioji tikslinė dotacija mokyklos specialiųjų ugdymosi poreikių turintiems mokiniams</t>
  </si>
  <si>
    <t xml:space="preserve">                                                               ___________________________________________</t>
  </si>
  <si>
    <t>Mokestis už valstybinius gamtos išteklius</t>
  </si>
  <si>
    <t xml:space="preserve">     mokinių visuomenės sveikatos priežiūrai</t>
  </si>
  <si>
    <t xml:space="preserve">     visuomenės sveikatos stiprinimui ir stebėsenai</t>
  </si>
  <si>
    <t>Mokinių visuomenės sveikatos priežiūrai</t>
  </si>
  <si>
    <t>Visuomenės sveikatos stiprinimui ir stebėsenai</t>
  </si>
  <si>
    <t>09.02.01.01
09.02.02.01 
09.05.01.01</t>
  </si>
  <si>
    <t xml:space="preserve">                 KĖDAINIŲ RAJONO SAVIVALDYBĖS APLINKOS APSAUGOS RĖMIMO</t>
  </si>
  <si>
    <t>3. Programos lėšos, skirtos savivaldybės visuomenės sveikatos rėmimo specialiajai programai</t>
  </si>
  <si>
    <t>Gelbėjimo ir cheminių avarijų padariniams likviduoti ir priemonėms finansuoti</t>
  </si>
  <si>
    <t>07.06.01.09</t>
  </si>
  <si>
    <t>01.01.01.09</t>
  </si>
  <si>
    <t>01.03.02.09</t>
  </si>
  <si>
    <t xml:space="preserve">01.03.02.09  </t>
  </si>
  <si>
    <t xml:space="preserve">                                                                                    Kėdainių rajono savivaldybės tarybos</t>
  </si>
  <si>
    <t>Kėdainių suaugusiųjų ir jaunimo mokymo centras</t>
  </si>
  <si>
    <t>Kėdainių sporto centras</t>
  </si>
  <si>
    <t xml:space="preserve">                                                                                         ___________________________</t>
  </si>
  <si>
    <t xml:space="preserve">                                                                                               ________________________________</t>
  </si>
  <si>
    <t xml:space="preserve"> patalpų nuoma</t>
  </si>
  <si>
    <t>atsitiktinės paslaugos</t>
  </si>
  <si>
    <t>už išlaikymą švietimo, socialinės apsaugos ir kitose įstaigose</t>
  </si>
  <si>
    <t xml:space="preserve">Iš jų: </t>
  </si>
  <si>
    <t>Būsto nuomos ar išperkamosios būsto nuomos mokesčių dalies kompensacijoms</t>
  </si>
  <si>
    <t xml:space="preserve">10.06.01.01 10.07.01.01
10.09.01.09 </t>
  </si>
  <si>
    <t>iš jų: darbo rinkos politikos rengimas ir įgyvendinimas</t>
  </si>
  <si>
    <t>03.5</t>
  </si>
  <si>
    <t>3 priedas</t>
  </si>
  <si>
    <t>4 priedas</t>
  </si>
  <si>
    <t>Kėdainių rajono savivaldybės administracija iš viso:</t>
  </si>
  <si>
    <t>Miško sklypų, kuriuose medžioklė nėra uždrausta, savininkų, valdytojų ir naudotojų, įgyvendinamos žalos prevencijos priemonės, kuriomis jie siekia išvengti medžiojamųjų gyvūnų daromos žalos miškui</t>
  </si>
  <si>
    <t>Privačių miškų savininkams, naudotojams, valdytojams želdinių apdorojimui repelentais, aptvėrimui tvoromis, želdinių, gerinančių laukinių gyvūnų mitybos sąlygas, ir kt. priemonėms</t>
  </si>
  <si>
    <t>VĮ Kėdainių miškų urėdijai repelentams įsigyti ir jais apdoroti medelius, ąžuoliukų apsaugoms įsigyti ir uždėti, ir kt. priemonėms</t>
  </si>
  <si>
    <t>Informacijai apie parengtą preliminarų medžioklės plotų vieneto sudarymo ar jo ribų keitimo projektą paskelbti šalies ir vietinėje spaudoje</t>
  </si>
  <si>
    <t>Kartografinės ir kitos medžiagos, reikalingos pagal Medžioklės įstatymo reikalavimus rengiamiems medžioklės plotų vienetų sudarymo ar jų ribų pakeitimo projektų parengimo priemonės</t>
  </si>
  <si>
    <t>Prenumeruoti spaudos leidinius aplinkosaugine tema ugdymo įstaigoms</t>
  </si>
  <si>
    <t>Techninės - sąmatinės dokumentacijos sudarymas, jos ekspertizė, darbų techninė priežiūra</t>
  </si>
  <si>
    <t xml:space="preserve">     būsto nuomos ar išperkamosios būsto nuomos mokesčių dalies kompensacijoms</t>
  </si>
  <si>
    <t>10.06.01.40</t>
  </si>
  <si>
    <t>08.02.01.07</t>
  </si>
  <si>
    <t>05.02.01.01</t>
  </si>
  <si>
    <t>04.05.01.02</t>
  </si>
  <si>
    <t>Kėdainių rajono savivaldybės administracijos Šėtos   seniūnija</t>
  </si>
  <si>
    <t>I. SAVARANKIŠKOMS FUNKCIJOMS ATLIKTI</t>
  </si>
  <si>
    <t>II. ĮSTAIGŲ GAUTOMS PAJAMOMS</t>
  </si>
  <si>
    <t xml:space="preserve"> UŽ PATALPŲ NUOMĄ</t>
  </si>
  <si>
    <t xml:space="preserve"> UŽ ATSITIKTINES PASLAUGAS</t>
  </si>
  <si>
    <t xml:space="preserve"> UŽ IŠLAIKYMĄ ŠVIETIMO, SOCIALINĖS APSAUGOS IR KITOSE ĮSTAIGOS</t>
  </si>
  <si>
    <t>Socialinių išmokų ir kompensacijų skaičiavimas ir mokėjimas</t>
  </si>
  <si>
    <t xml:space="preserve">10.03.01.01
10.07.01.01
10.09.01.09 
</t>
  </si>
  <si>
    <t>9  priedas</t>
  </si>
  <si>
    <t xml:space="preserve">                                                                                                                                               8 priedas</t>
  </si>
  <si>
    <t>7 priedas</t>
  </si>
  <si>
    <t>11 priedas</t>
  </si>
  <si>
    <t xml:space="preserve">                                                                                   Kėdainių rajono savivaldybės tarybos  </t>
  </si>
  <si>
    <t xml:space="preserve">                                                                                   Kėdainių rajono savivaldybės tarybos</t>
  </si>
  <si>
    <t xml:space="preserve">                                                                         Kėdainių rajono savivaldybės tarybos</t>
  </si>
  <si>
    <t xml:space="preserve"> iš jų:</t>
  </si>
  <si>
    <t>Eil.   Nr.</t>
  </si>
  <si>
    <t>09.01.01.01
09.05.01.01</t>
  </si>
  <si>
    <t>09.02.02.01
09.05.01.01</t>
  </si>
  <si>
    <t>01.03.02.09
04.01.02.01</t>
  </si>
  <si>
    <t xml:space="preserve">     Kėdainių rajono Akademijos gimnazijos priestato Kėdainių r., Akademijos mst., Jaunimo g. 2, statybai</t>
  </si>
  <si>
    <t xml:space="preserve">     Kėdainių rajono savivaldybės pastato, esančio Didžiosios Rinkos a. 4, Kėdainiuose, rekonstravimui, įrengiant Mikalojaus Daukšos viešosios bibliotekos vaikų ir jaunimo skyrių</t>
  </si>
  <si>
    <t xml:space="preserve">                                                                                  Kėdainių rajono savivaldybės tarybos</t>
  </si>
  <si>
    <t xml:space="preserve">                                                                               Kėdainių rajono savivaldybės tarybos</t>
  </si>
  <si>
    <t xml:space="preserve">                                                                                Kėdainių rajono savivaldybės tarybos</t>
  </si>
  <si>
    <t xml:space="preserve">                                                                             Kėdainių rajono savivaldybės tarybos</t>
  </si>
  <si>
    <t xml:space="preserve">                                                                                      Kėdainių rajono savivaldybės tarybos</t>
  </si>
  <si>
    <t>Kaštoninio karšelio gaudyklėms įsigyti</t>
  </si>
  <si>
    <t>Kita tikslinė dotacija, iš jos:</t>
  </si>
  <si>
    <t xml:space="preserve">     mokyklos specialiųjų ugdymosi poreikių turintiems mokiniams</t>
  </si>
  <si>
    <t>Dividendai</t>
  </si>
  <si>
    <t>Vilkų ūkiniams gyvūnams padarytai žalai atlyginti</t>
  </si>
  <si>
    <t>Lietuvos sporto universiteto Kėdainių "Aušros" progimnazija</t>
  </si>
  <si>
    <t>Kėdainių Juozo Paukštelio progimnazija</t>
  </si>
  <si>
    <t>Kėdainių "Ryto" progimnazija</t>
  </si>
  <si>
    <t xml:space="preserve">     VšĮ Mažylių akademijai</t>
  </si>
  <si>
    <t>02.01.01.04</t>
  </si>
  <si>
    <t>04.02.01.04</t>
  </si>
  <si>
    <t>Melioracijos statinių remonto darbai gyvenvietėse</t>
  </si>
  <si>
    <t>Melioruotos žemės ir melioracijos statinių apskaitos duomenų rinkinių tvarkymas</t>
  </si>
  <si>
    <t>01.06.01.04</t>
  </si>
  <si>
    <t>Atnaujinti Lietuvos sporto universiteto Kėdainių  „Aušros“ progimnaziją</t>
  </si>
  <si>
    <t>Atnaujinti ikimokyklinio ugdymo įstaigų lauko inventorių</t>
  </si>
  <si>
    <t>Šalinti higienos normų reikalavimų trūkumus, sudarant saugias ugdymo sąlygas įstaigose, vykdančiose ugdymo programas</t>
  </si>
  <si>
    <t xml:space="preserve">Integruoti slaugos ir palaikomojo gydymo ligoninę  į VšĮ Kėdainių ligoninę, įkurti antrą 40 lovų slaugos ir palaikomojo gydymo skyrių, pertvarkant traumatologijos ir psichiatrijos skyrius </t>
  </si>
  <si>
    <t>Pritaikyti viešąją aplinką neįgaliųjų poreikiams</t>
  </si>
  <si>
    <t>Įgyvendinti programą, skirtą Lietuvos Nepriklausomybės ir Lietuvos kariuomenės 100-osioms metinėms</t>
  </si>
  <si>
    <t xml:space="preserve">Įrengti informacines lenteles ir prie neveikiančių ir veikiančių rajono kapinių,  atnaujinti užrašus ant paminklų </t>
  </si>
  <si>
    <t xml:space="preserve">Atlikti turto inventorizavimą, teisinę registraciją, parengti  dokumentus turto privatizavimui </t>
  </si>
  <si>
    <t>Parengti Kėdainių miesto paviršinių (lietaus) nuotekų tvarkymo infrastruktūros plėtros specialųjį planą</t>
  </si>
  <si>
    <t>Parengti Kėdainių miesto darnaus judumo planą</t>
  </si>
  <si>
    <t>Remontuoti objektus pagal administracijos direktoriaus įsakymus</t>
  </si>
  <si>
    <t>Likviduoti avarinius židinius</t>
  </si>
  <si>
    <t>Modernizuoti Kėdainių miesto J.Basanavičiaus g. apšvietimą</t>
  </si>
  <si>
    <t>Remontuoti biudžetinių įstaigų kiemus</t>
  </si>
  <si>
    <t>Remontuoti viešųjų ir biudžetinių įstaigų stogus</t>
  </si>
  <si>
    <t>Lėšos,  tūkst. Eur</t>
  </si>
  <si>
    <t>Lėšos, tūkst. Eur</t>
  </si>
  <si>
    <t>Nuotekų surinkimo linijos pratęsimas Surviliškio mstl., Surviliškio sen.</t>
  </si>
  <si>
    <t>Kėdainių r. sav. 2015–2018 m. aplinkosaugos švietimo programos įgyvendinimas</t>
  </si>
  <si>
    <t>Pajamos,      tūkst. Eur</t>
  </si>
  <si>
    <t>Lėšos,                 tūkst. Eur</t>
  </si>
  <si>
    <t>Aplinkos apsaugos rėmimo specialiajai programai (pridedama 12 priedas)</t>
  </si>
  <si>
    <t>10  priedas</t>
  </si>
  <si>
    <t xml:space="preserve">     Kėdainių r. sav. Slaugos ir palaikomojo gydymo ligoninės Budrio g. 5, Kėdainiuose integracija į viešąją įstaigą Kėdainių ligoninę, antro 40 lovų slaugos ir palaikomojo gydymo skyriaus įkūrimas pertvarkant traumatologijos ir psichiatrijos skyrius</t>
  </si>
  <si>
    <t>Dalyvauti tyrime  "Sveikatos ir olimpinio ugdymo programos poveikis mokinių sveikatai ir gyvensenai"</t>
  </si>
  <si>
    <t>08.06.01.01</t>
  </si>
  <si>
    <t>09.01.01.01  09.01.02.01 09.02.01.01
09.02.02.01 10.02.01.02</t>
  </si>
  <si>
    <t xml:space="preserve">Užtikrinti socialinio būsto fondo plėtrą Kėdainiuose  </t>
  </si>
  <si>
    <t>Rengti specialiuosius, detaliuosius, geodezinius planus bei  topografines nuotraukas</t>
  </si>
  <si>
    <t>07.06.01.06</t>
  </si>
  <si>
    <t>04.09.01.01</t>
  </si>
  <si>
    <t>08.02.01.01
08.02.01.08</t>
  </si>
  <si>
    <t>Pajamos iš baudų ir konfiskacijos</t>
  </si>
  <si>
    <t>FINANSINIŲ ĮSIPAREIGOJIMŲ PRISIĖMIMO (SKOLINIMOSI) PAJAMOS</t>
  </si>
  <si>
    <t>Suma (tūkst.Eur)</t>
  </si>
  <si>
    <t>(tūkst. Eur)</t>
  </si>
  <si>
    <r>
      <t xml:space="preserve">20 procentų Savivaldybės aplinkos apsaugos rėmimo specialiosios programos lėšų, neįskaitant įplaukų už </t>
    </r>
    <r>
      <rPr>
        <sz val="10"/>
        <color indexed="8"/>
        <rFont val="Times New Roman"/>
        <family val="1"/>
      </rPr>
      <t>medžioklės plotų naudotojų mokesčius, mokamus įstatymų nustatytomis proporcijomis ir tvarka už medžiojamųjų gyvūnų išteklių naudojimą</t>
    </r>
  </si>
  <si>
    <r>
      <t xml:space="preserve">80 procentų Savivaldybės aplinkos apsaugos rėmimo specialiosios programos lėšų, neįskaitant įplaukų už </t>
    </r>
    <r>
      <rPr>
        <sz val="10"/>
        <color indexed="8"/>
        <rFont val="Times New Roman"/>
        <family val="1"/>
      </rPr>
      <t>medžioklės plotų naudotojų mokesčius, mokamus įstatymų nustatytomis proporcijomis ir tvarka už medžiojamųjų gyvūnų išteklių naudojimą</t>
    </r>
  </si>
  <si>
    <t>________________________________________________</t>
  </si>
  <si>
    <t xml:space="preserve">                                                                   _____________________________________                                                                                       </t>
  </si>
  <si>
    <t>18</t>
  </si>
  <si>
    <t>19</t>
  </si>
  <si>
    <t>20</t>
  </si>
  <si>
    <t>01.01.01.02
01.01.01.09
01.03.02.09
01.06.01.02
04.05.06.09 06.06.01.01
06.06.01.09</t>
  </si>
  <si>
    <t>05.03.01.01</t>
  </si>
  <si>
    <t>08.06.01.09</t>
  </si>
  <si>
    <t xml:space="preserve">     Kėdainių miesto Didžiosios Rinkos aikštei rekonstruoti</t>
  </si>
  <si>
    <t>08.02.01.08 09.01.01.01  09.01.02.01 09.02.01.01
09.02.02.01</t>
  </si>
  <si>
    <t>Rekonstruoti Didžiosios rinkos aikštę</t>
  </si>
  <si>
    <t>04.01.02.09</t>
  </si>
  <si>
    <t xml:space="preserve">Rekonstruoti Šėtos mstl. Kėdainių, Kauno, Ukmergės, Turgaus, Lakštingalų, Linksmavietės, Obelies, Kapų, Pagirių, Čeponiškių gatvių apšvietimą </t>
  </si>
  <si>
    <t xml:space="preserve">Kėdainių švietimo pagalbos tarnyba </t>
  </si>
  <si>
    <t>Europos Sąjungos finansinės paramos lėšos</t>
  </si>
  <si>
    <t>Kėdainių r. Akademijos gimnazija</t>
  </si>
  <si>
    <t>Kėdainių r. Josvainių gimnazija</t>
  </si>
  <si>
    <t>Kėdainių r. Šėtos gimnazija</t>
  </si>
  <si>
    <t>Kėdainių r. Labūnavos pagrindinė mokykla</t>
  </si>
  <si>
    <t>Kėdainių r. Miegenų pagrindinė mokykla</t>
  </si>
  <si>
    <t>Kėdainių r. Truskavos pagrindinė mokykla</t>
  </si>
  <si>
    <t>Kėdainių r. Šėtos  gimnazija</t>
  </si>
  <si>
    <t>Rekonstruoti Krakių mstl. Laisvės aikštę</t>
  </si>
  <si>
    <t>06.02.01.01 08.02.01.07 08.02.01.08 08.02.01.01 08.06.01.01 08.02.01.02  09.01.01.01  09.01.02.01 09.02.01.01
09.02.02.01 10.02.01.02</t>
  </si>
  <si>
    <t xml:space="preserve">          KĖDAINIŲ RAJONO SAVIVALDYBĖS 2017 METŲ BIUDŽETO PAJAMOS</t>
  </si>
  <si>
    <t xml:space="preserve">IŠ BIUDŽETO IŠLAIKOMŲ ĮSTAIGŲ 2017 METŲ PAJAMOS UŽ PATALPŲ NUOMĄ, ATSITIKTINES PASLAUGAS IR UŽ IŠLAIKYMĄ ŠVIETIMO, SOCIALINĖS APSAUGOS IR KITOSE ĮSTAIGOSE </t>
  </si>
  <si>
    <t xml:space="preserve"> 2017 METŲ ASIGNAVIMAI ĮSTAIGOMS IŠ PAJAMŲ, GAUTŲ UŽ PATALPŲ NUOMĄ</t>
  </si>
  <si>
    <t xml:space="preserve"> 2017 METŲ ASIGNAVIMAI ĮSTAIGOMS IŠ PAJAMŲ, GAUTŲ UŽ ATSITIKTINES PASLAUGAS </t>
  </si>
  <si>
    <t xml:space="preserve">                 SPECIALIOSIOS PROGRAMOS 2017 METŲ PRIEMONIŲ SĄMATA                                                                                                                 </t>
  </si>
  <si>
    <t>Sosnovskio barščio naikinimas Kėdainių rajone:</t>
  </si>
  <si>
    <t>Lietaus kanalizacijos projektavimui Meironiškių k., Krakių sen.</t>
  </si>
  <si>
    <t>Kėdainių r. sav. 2014–2018 m. aplinkos monitoringo programos paslaugoms įgyvendinti</t>
  </si>
  <si>
    <t>Juodkiškio tvenkinio pakrančių valymui, tvarkymui, makrofitų šienavimui Koliupės k. Vilainių sen.</t>
  </si>
  <si>
    <t>Obelies upelio pakrančių sutvarkymui Šėtos sen.</t>
  </si>
  <si>
    <t>Nevėžio upės makrofitų šienavimas Kėdainių m.</t>
  </si>
  <si>
    <t>Ašarėnos tvenkinio pakrančių sutvarkymui Pelėdnagių sen.</t>
  </si>
  <si>
    <t>Azoto ir fosforo junginių tyrimams dirvožemyje ir paviršiniame vandenyje atlikti</t>
  </si>
  <si>
    <t>Šetenių, Šventybraščio, Apytalaukio parkų tvarkymui Vilainių sen.</t>
  </si>
  <si>
    <t xml:space="preserve">                                                __________________________</t>
  </si>
  <si>
    <t>2017 METŲ VALSTYBĖS BIUDŽETO SPECIALIOSIOS TIKSLINĖS DOTACIJOS SAVIVALDYBĖS BIUDŽETUI VALSTYBINĖMS (VALSTYBĖS PERDUOTOMS SAVIVALDYBEI) FUNKCIJOMS ATLIKTI ASIGNAVIMAI</t>
  </si>
  <si>
    <t>Neveiksnių asmenų būklės peržiūrėjimui</t>
  </si>
  <si>
    <t xml:space="preserve">Gyventojų pajamų mokestis </t>
  </si>
  <si>
    <t xml:space="preserve">     neveiksnių asmenų būklės peržiūrėjimui</t>
  </si>
  <si>
    <t xml:space="preserve">Avarinių valstybei nuosavybės teise priklausančių melioracijos statinių gedimų remonto darbai </t>
  </si>
  <si>
    <t>Melioracijos griovių ir jų statinių priežiūros ir remonto darbai</t>
  </si>
  <si>
    <t>Tvenkinių, pylimų ir kitų hidrotechninių statinių remonto ir priežiūros darbai</t>
  </si>
  <si>
    <t>Polderių remonto ir priežiūros darbai</t>
  </si>
  <si>
    <t>Kėdainių rajono savivaldybės 2017 m. valstybei nuosavybės teise priklausančių melioracijos statinių priežiūrai ir remonto darbams įskaitant priešprojektinius tyrinėjimus, techninės sąmatinės dokumentacijos sudarymą, ekspertizę, darbų techninę priežiūrą bei kitus susijusius darbus</t>
  </si>
  <si>
    <t>10.06.01.01 10.07.01.01
10.09.01.09</t>
  </si>
  <si>
    <t>10.09.01.09</t>
  </si>
  <si>
    <t xml:space="preserve">Biudžeto apyvartos </t>
  </si>
  <si>
    <t>Patalpų nuomos</t>
  </si>
  <si>
    <t>Atsitiktinių pasalugų</t>
  </si>
  <si>
    <t>Įmokų už išlaikymą švietimo, socialinės apsaugos ir kitose įstaigose</t>
  </si>
  <si>
    <t xml:space="preserve">Aplinkos apsaugos rėmimo programos apyvartos </t>
  </si>
  <si>
    <t>Pajamų už vietinę rinkliavą</t>
  </si>
  <si>
    <t>III EUROPOS SĄJUNGOS LĖŠOS</t>
  </si>
  <si>
    <t xml:space="preserve">KĖDAINIŲ RAJONO SAVIVALDYBĖS  2017 METŲ BIUDŽETO ASIGNAVIMAI  PROJEKTAMS FINANSUOTI EUROPOS SĄJUNGOS LĖŠOMIS </t>
  </si>
  <si>
    <t>KĖDAINIŲ RAJONO SAVIVALDYBĖS 2017 METŲ BIUDŽETO ASIGNAVIMAI  SAVARANKIŠKOMS FUNKCIJOMS ATLIKTI</t>
  </si>
  <si>
    <t>2017 METŲ ASIGNAVIMAI ĮSTAIGOMS IŠ PAJAMŲ, GAUTŲ UŽ IŠLAIKYMĄ ŠVIETIMO, SOCIALINĖS APSAUGOS IR KITOSE ĮSTAIGOSE</t>
  </si>
  <si>
    <t xml:space="preserve">09.08.01.09    </t>
  </si>
  <si>
    <t>Vykdyti vaikų otorinolaringologinės pagalbos kokybės gerinimo Kėdainių rajono savivaldybės gyventojams 2017 m. programą</t>
  </si>
  <si>
    <t>Vykdyti krūties vėžio prevencijos efektyvumo didinimo Kėdainių rajono savivaldybėje 2017 m. programą</t>
  </si>
  <si>
    <t>Vykdyti storosios žarnos vėžio ankstyvosios diagnostikos efektyvumo didinimo Kėdainių rajono savivaldybėje 2017 m. programą</t>
  </si>
  <si>
    <t>Parengti studiją, įvertinant Kėdainių rajono gyventojų sergamumo ir mirtingumo priežastis dėl onkologinių, širdies ir kraujagyslių  ligų</t>
  </si>
  <si>
    <t xml:space="preserve">Vykdyti Kėdainių rajono tuberkuliozės prevencijos, ankstyvosios diagnostikos, gydymo ir kontrolės 2017 m. programą </t>
  </si>
  <si>
    <t>Vykdyti pirminės asmens sveikatos priežiūros paslaugų prieinamumo ir kokybės užtikrinimo Kėdainių rajono kaimiškųjų vietovių gyventojams 2017 m. programą</t>
  </si>
  <si>
    <t>Vykdyti Ultragarsinių diagnostinių paslaugų teikimo efektyvumo gerinimo Kėdainių rajono savivaldybėje 2017 m. programą</t>
  </si>
  <si>
    <t>Remontuoti Šėtos gimnazijos vidaus patalpas</t>
  </si>
  <si>
    <t>Remontuoti Kėdainių Juozo Paukštelio progimnazijos vidaus patalpas</t>
  </si>
  <si>
    <t>Pakeisti langus bei remontuoti Kėdainių specialiąją mokyklą</t>
  </si>
  <si>
    <t>Remontuoti Surviliškio V.Svirskio pagrindinę mokyklą</t>
  </si>
  <si>
    <t>Užtikrinti Kėdainių miesto švietimo įstaigų pastatų ir teritorijų apsaugą</t>
  </si>
  <si>
    <t>Rekonstruoti VšĮ Kėdainių ligoninės laboratorinio-stomatologinio korpusą</t>
  </si>
  <si>
    <t>Remontuoti VšĮ Kėdainių PSPC Greitosios medicinos pagalbos skyriaus pastatą ir garažus</t>
  </si>
  <si>
    <t>Remontuoti Tiskūnų medicinos punktą</t>
  </si>
  <si>
    <t>Keisti savivaldybės ir socialinio būsto langus</t>
  </si>
  <si>
    <t>Remontuoti savivaldybės ir socialinį būstą</t>
  </si>
  <si>
    <t>Atnaujinti (remontuoti) daugiabučių namų bendrojo naudojimo objektus</t>
  </si>
  <si>
    <t>Kėdainių rajono savivaldybės 2017 m. biudžeto asignavimai investicijų projektams ir remonto darbams finansuoti pagal objektus:</t>
  </si>
  <si>
    <t>Finansuoti Kėdainių miesto vietos plėtros 2014-2020 m.strategijos parengimą ir įgyvendinimą</t>
  </si>
  <si>
    <t>Rekonstruoti Kėdainių kultūros centrą</t>
  </si>
  <si>
    <t>Įgyvendinti projektą "Tradicinio Amatų centro Arnetų name plėtra"</t>
  </si>
  <si>
    <t>Įgyvendinti projektą "Jonavos, Kėdainių ir Raseinių rajonų savivaldybes jungiančių trasų ir turizmo maršrutų informacinės infrastruktūros plėtra"</t>
  </si>
  <si>
    <t>Dalyvauti projekte "Kunigaikščių Radvilų paveldo Kėdainiuose ir Nesvyžiuje išsaugojimas bei pritaikymas turizmo reikmėms"</t>
  </si>
  <si>
    <t>Parengti projektus ir remontuoti koplytėles ir koplytstulpius (Labūnavos, Šlapaberžės)</t>
  </si>
  <si>
    <t>Apšviesti senamiesčio objektų fasadus</t>
  </si>
  <si>
    <t xml:space="preserve">Atlikti Kalnaberžės dvaro sodybos rūmų (unikalus kodas kultūros vertybių registre 35338) stogo ir fasado tvarkybos darbus (remonto, restauravimo, apsaugos techninių priemonių įrengimas) </t>
  </si>
  <si>
    <t xml:space="preserve">Atlikti archeologiniams tyrinėjimams kultūros paveldo teritorijose </t>
  </si>
  <si>
    <t>Atlikti Apytalaukio dvaro dviejų kumetynų sutvarkymo darbus</t>
  </si>
  <si>
    <t>Kompleksiškai sutvarkyti Kėdainių miesto upių prieigas, sukuriant patrauklias viešąsias erdves bendruomenei ir verslui</t>
  </si>
  <si>
    <t>Kompleksiškai sutvarkyti Kėdainių miesto viešąsias erdves bendruomenei ir verslui</t>
  </si>
  <si>
    <t>Kompleksiškai sutvarkyti Kėdainių miesto maudymvietes ir poilsio zonas</t>
  </si>
  <si>
    <t xml:space="preserve">Įrengti/modernizuoti viešuosius tualetus turistų lankomose vietose </t>
  </si>
  <si>
    <t>Sutvarkyti Babėnų šilą, sudarant sąlygas rekreaciniam poilsiui</t>
  </si>
  <si>
    <t xml:space="preserve">Rengti infrastruktūros objektų tvarkymo investicinius projektus, paraiškas, kitą techninę dokumentaciją  Europos Sąjungos fondų paramai gauti </t>
  </si>
  <si>
    <t>Įrengti, rekonstruoti, išplėsti vandentiekio ir nuotekų tinklus Kėdainių mieste (Minareto g., Kanapinsko g., Algirdo g., Parakinės g., Rūtų, )</t>
  </si>
  <si>
    <t xml:space="preserve">Vandentiekio ir buitinių nuotekų infrastruktūros plėtra Šėtos miestelyje ir Kunionių kaime bei Kėdainių miesto vandentiekio (D100, D400) rekonstrukcija, Kėdainių miesto buitinių nuotekų tinklų (D1000, D800, D600) ir diukerių per Nevėžį ir Smilgą rekonstrukcija         </t>
  </si>
  <si>
    <t>Rekonstruoti ir plėsti Kėdainių miesto paviršinių nuotekų tinklus</t>
  </si>
  <si>
    <t xml:space="preserve">Įrengti ir išplėsti vandentiekio ir buitinių nuotekų tinklus Surviliškio kaime </t>
  </si>
  <si>
    <t>Plėsti vandentiekio ir nuotekų tinklus Šlapaberžės kaime</t>
  </si>
  <si>
    <t>Rekonstruoti apšvietimo tinklus Nociūnų kaime</t>
  </si>
  <si>
    <t>Rekonstruoti apšvietimo tinklus Alksnėnų  kaime</t>
  </si>
  <si>
    <t>Atlikti apšvietimo įrengimo ir išplėtimo  darbus Berželės kaime</t>
  </si>
  <si>
    <t>Rekonstruoti apšvietimo tinklus Antanavos, Antušavos, Jokūbaičių,  Terespolio kaimuose</t>
  </si>
  <si>
    <t xml:space="preserve">Rekonstruoti Šlapaberžės k. Gėlių, Šlapaberžės, Saulėtekio, Miškų, Žaliosios, Linksmosios, Baseino, Naujaberžės gatvių apšvietimą </t>
  </si>
  <si>
    <t xml:space="preserve">Rekonstruoti  miesto gatves ir šaligatvius, įrengti apšvietimą (Kanapinsko g., Lukšio g., Žemaitės g., Mindaugo g., Pavasario g.) </t>
  </si>
  <si>
    <t>Įrengti dalį Šilelio gatvės</t>
  </si>
  <si>
    <t>Sutvarkyti Kėdainių miesto viešąją erdvę prie Budrio gatvės (automobilių stovėjimo aikštelė)</t>
  </si>
  <si>
    <t>Finansuoti inžinerinių tinklų perkėlimo išlaidas, tvarkant miesto bei rajono gatves</t>
  </si>
  <si>
    <t>Remontuoti pėsčiųjų taką nuo J.Basanavičiaus g. link Kėdainių kultūros centros</t>
  </si>
  <si>
    <t>Atlikti Savivaldybės pastato ir jo aplinkos sutvarkymo darbus</t>
  </si>
  <si>
    <t>Atnaujinti seniūnijų administracinius  pastatus</t>
  </si>
  <si>
    <t>Asfaltuoti daugiabučių gyvenamųjų namų kiemus</t>
  </si>
  <si>
    <t xml:space="preserve">Dalyvauti energinio efektyvumo didinimo daugiabučiuose namuose programoje, kompensuojant Savivaldybei priklausančių būstų renovacijos išlaidas </t>
  </si>
  <si>
    <t>Remontuoti autobusų stoteles</t>
  </si>
  <si>
    <t>Likviduoti apleistus (bešeimininkius) pastatus ir kitus aplinką žalojančius objektus</t>
  </si>
  <si>
    <t>Rengti projektus ir remontuoti gyvenviečių lietaus kanalizacijos-drenažų sistemas</t>
  </si>
  <si>
    <t>Įgyvendinti Kėdainių rajono savivaldybės bažnyčių rėmimo programą</t>
  </si>
  <si>
    <t>Pajamų už parduotą turtą</t>
  </si>
  <si>
    <t>Turto mokesčiai (4+5+6)</t>
  </si>
  <si>
    <t>29</t>
  </si>
  <si>
    <t>2016 METŲ LĖŠŲ LIKUTIS, IŠ JO:</t>
  </si>
  <si>
    <t xml:space="preserve"> MOKESČIAI (2+3+7)</t>
  </si>
  <si>
    <t>Prekių ir paslaugų mokesčiai (8+9+10)</t>
  </si>
  <si>
    <t>KITOS PAJAMOS (12+17+21+22+23)</t>
  </si>
  <si>
    <t>Turto pajamos (13+14+15+16)</t>
  </si>
  <si>
    <t>Pajamos už prekes ir paslaugas (18+19+20)</t>
  </si>
  <si>
    <t>Specialioji tikslinė dotacija (26+27+28+29), iš jos:</t>
  </si>
  <si>
    <t xml:space="preserve">                                       IŠ VISO PAJAMŲ IR DOTACIJŲ (1+11+24+25+30+31)</t>
  </si>
  <si>
    <t>IŠ VISO (32+33)</t>
  </si>
  <si>
    <t>IŠ VISO (34+35)</t>
  </si>
  <si>
    <t>Vykdyti laparoskopinės ir artroskopinės chirurginės pagalbos kokybės gerinimo Kėdainių rajono savivaldybės gyventojams 2017 m. programą</t>
  </si>
  <si>
    <t>Vykdyti traumatologinės  pagalbos kokybės gerinimo Kėdainių rajono savivaldybės gyventojams 2017 m. programą</t>
  </si>
  <si>
    <t>Vykdyti odontologinės priežiūros/pagalbos kokybės gerinimo Kėdainių rajono savivaldybės gyventojams 2017 m. programą</t>
  </si>
  <si>
    <t>Vykdyti VšĮ Kėdainių ligoninės dantų protezavimo pensininkams ir neįgaliesiems 2017 m. programą</t>
  </si>
  <si>
    <t>Vykdyti VšĮ Kėdainių ligoninės vaikų slaugos 2017 m. programą</t>
  </si>
  <si>
    <t>09.01.01.01 
09.01.02.01
 09.02.01.01
09.02.02.01
09.05.01.01
09.05.01.03</t>
  </si>
  <si>
    <t>07.02.01.01</t>
  </si>
  <si>
    <t>10.01.02.02
10.06.01.01
10.09.01.01 
10.09.01.09</t>
  </si>
  <si>
    <t>08.02.01.06
08.06.01.09</t>
  </si>
  <si>
    <t>08.02.01.06</t>
  </si>
  <si>
    <t>08.04.01.02</t>
  </si>
  <si>
    <t xml:space="preserve">04.07.03.01. </t>
  </si>
  <si>
    <t xml:space="preserve">08.02.01.07. 
04.07.03.01. </t>
  </si>
  <si>
    <t xml:space="preserve">04.05.01.02. </t>
  </si>
  <si>
    <t>04.07.03.01.</t>
  </si>
  <si>
    <t>04.07.05.01</t>
  </si>
  <si>
    <t>05.02.01.01
06.03.01.01</t>
  </si>
  <si>
    <t>04.05.01.02
06.04.01.01</t>
  </si>
  <si>
    <t>05.06.01.01</t>
  </si>
  <si>
    <t>05.02.01.01.</t>
  </si>
  <si>
    <t>Parengti projektą ir remontuoti sinagogą esančią Paeismilgio 12A</t>
  </si>
  <si>
    <t>Finansuotii vaikų vasaros poilsio ir užimtumo programas</t>
  </si>
  <si>
    <t>Skatinti rajono gabius ir talentingus mokinius</t>
  </si>
  <si>
    <t>Vykdyti  E sveikatos informacinės sistemos diegimo, palaikymo ir tobulinimo VšĮ Kėdainių PSPC ir VšĮ Kėdainių ligoninėje 2017 m. programą</t>
  </si>
  <si>
    <t>vykdyti socialinės paramos 2017 m. programą</t>
  </si>
  <si>
    <t>vykdyti integralios pagalbos į namus Kėdainių rajone 2017 m. programą</t>
  </si>
  <si>
    <t>Organizuoti nemokamą socialiai remtinų vaikų maitinimą ikimokyklinėse įstaigose</t>
  </si>
  <si>
    <t xml:space="preserve">Kompensuoti nemokamo mokinių maitinimo kainą bendrojo lavinimo mokyklose </t>
  </si>
  <si>
    <t xml:space="preserve">Dengti kainų skirtumą gyventojams už šildymą </t>
  </si>
  <si>
    <t>Kompesuoti šalto vandens pardavimo kainą socialiai remtiniems asmenims</t>
  </si>
  <si>
    <t>Kompesuoti karšto vandens pardavimo kainą socialiai remtiniems asmenims</t>
  </si>
  <si>
    <t xml:space="preserve">Kompensuoti kelionės išlaidas už lengvatinį keleivių vežimą </t>
  </si>
  <si>
    <t xml:space="preserve">Užtikrinti paslaugų teikimą VšĮ "Gyvenimo namai  sutrikusio intelekto asmenims"   </t>
  </si>
  <si>
    <t>Organizuoti socialinės reabilitacijos paslaugų neįgaliesiems bendruomenėje projektų konkursus</t>
  </si>
  <si>
    <t>Finansuoti prioritetinių sporto šakų projektus/programas</t>
  </si>
  <si>
    <t>Paramos ir labdaros fondo „Krepšinio angelai“ programai</t>
  </si>
  <si>
    <t>VšĮ "Sporto perspektyvos" programai</t>
  </si>
  <si>
    <t>Kėdainių bokso federacijos programai</t>
  </si>
  <si>
    <t>VšĮ "Sporto perspektyvos" vaikų ir jaunimo futbolo plėtros programai</t>
  </si>
  <si>
    <t>Finansuoti kitus kūno kultūros ir sporto veiklos  projektus</t>
  </si>
  <si>
    <t>Finansuoti VšĮ Kėdainių turizmo ir verslo informacijos centro 2017 m. veiklos programą</t>
  </si>
  <si>
    <t>Finansuoti daugiabučių namų bendrijas</t>
  </si>
  <si>
    <t>Finansuoti daugiabučių gyvenamųjų namų savininkų bendrijų rėmimo programą</t>
  </si>
  <si>
    <t xml:space="preserve">Tvarkyti komunalines atliekas </t>
  </si>
  <si>
    <t>Vykdyti savivaldybės viešųjų teritorijų tvarkymą</t>
  </si>
  <si>
    <t>Finansuoti 2017 m. prevencinę programą "Saugios aplinkos kūrimas ir bendruomenės teisėtvarkos kūrimas"</t>
  </si>
  <si>
    <t>Įgyvendinti priemones, finansuojamas iš Savivaldybės administracijos direktoriaus rezervo</t>
  </si>
  <si>
    <t>Įgyvendinti priemones, finansuojamas iš Savivaldybės mero fondo</t>
  </si>
  <si>
    <t xml:space="preserve">Kompensuoti UAB "Kėdbusas" nuostolingus maršrutus </t>
  </si>
  <si>
    <t>Dalyvauti Kauno regionio plėtros veikloje</t>
  </si>
  <si>
    <t>Įrengti Akademijos kultūros centro  žiūrovų salės ir scenos įgarsinimo sistemą</t>
  </si>
  <si>
    <t>Užtikrinti rajono nevyriausybinių organizacijų (įskaitant bendruomenes organizacijas) plėtrą</t>
  </si>
  <si>
    <t xml:space="preserve">Sudaryti sąlygas bendruomeninių organizacijų veiklai </t>
  </si>
  <si>
    <t>iš jų:  iš Bendrosios dotacijos kompensacija</t>
  </si>
  <si>
    <t>darbo rinkos politikos rengimas ir įgyvendinimas</t>
  </si>
  <si>
    <t>Atnaujinti Labūnavos pagrindinės mokyklos  "Dobiliuko" skyriaus pastatus, apšiltinant lauko sienas</t>
  </si>
  <si>
    <t xml:space="preserve">KĖDAINIŲ RAJONO SAVIVALDYBĖS BIUDŽETO APYVARTOS LĖŠŲ (2016 METŲ BIUDŽETO LĖŠŲ LIKUČIO) PASKIRSTYMAS  </t>
  </si>
  <si>
    <t xml:space="preserve">2017 METŲ VALSTYBĖS BIUDŽETO SPECIALIOSIOS TIKSLINĖS DOTACIJOS VALSTYBĖS INVESTICIJŲ  PROGRAMOJE NUMATYTOMS KAPITALO INVESTICIJOMS FINANSUOTI ASIGNAVIMAI </t>
  </si>
  <si>
    <t>Specialioji tikslinė dotacija valstybės investicijų 2017 m. programoje numatytoms kapitalo investicijoms</t>
  </si>
  <si>
    <t>Įrengti nuotekų tinklus Pavermenio kaime</t>
  </si>
  <si>
    <t>Aptverti Dotnuvos g. esančias kapines</t>
  </si>
  <si>
    <t>iš jų: pedagoginių darbuotojų darbo apmokėjimo sąlygoms gerinti</t>
  </si>
  <si>
    <t>neformaliajam vaikų švietimui</t>
  </si>
  <si>
    <t>VšĮ Mažylių akademijai pedagoginių darbuotojų darbo apmokėjimo sąlygoms gerinti</t>
  </si>
  <si>
    <t xml:space="preserve">     privalomųjų biologinio saugumo priemonių neversliniuose kiaulininkystės ūkiuose taikymo įvertinimo ir sklaidos apie afrikinį kiaulių marą organizavimo išlaidoms</t>
  </si>
  <si>
    <t>Kitos dotacijos ir lėšos iš kitų valdymo lygių, iš jos:</t>
  </si>
  <si>
    <t xml:space="preserve">     projektams finansuoti</t>
  </si>
  <si>
    <t>Specialioji tikslinė dotacija privalomųjų biologinio saugumo priemonių neversliniuose kiaulininkystės ūkiuose taikymo įvertinimo ir sklaidos apie afrikinį kiaulių marą organizavimo išlaidoms</t>
  </si>
  <si>
    <t xml:space="preserve"> vietinės reikšmės keliams (gatvėms) tiesti, taisyti (rekonstruoti), prižiūrėti ir saugaus eismo sąlygoms užtikrinti </t>
  </si>
  <si>
    <t xml:space="preserve">Specialioji tikslinė dotacija vietinės reikšmės keliams (gatvėms) tiesti, taisyti (rekonstruoti), prižiūrėti ir saugaus eismo sąlygoms užtikrinti </t>
  </si>
  <si>
    <t xml:space="preserve">2017 METŲ VALSTYBĖS BIUDŽETO SPECIALIOSIOS TIKSLINĖS DOTACIJOS SAVIVALDYBĖS BIUDŽETUI KITI ASIGNAVIMAI </t>
  </si>
  <si>
    <t>2017 METŲ VALSTYBĖS BIUDŽETO SPECIALIOSIOS TIKSLINĖS DOTACIJOS SAVIVALDYBĖS BIUDŽETUI MOKINIO KREPŠELIUI  FINANSUOTI ASIGNAVIMAI</t>
  </si>
  <si>
    <r>
      <t>09.02.01.01</t>
    </r>
    <r>
      <rPr>
        <sz val="10"/>
        <rFont val="Times New Roman"/>
        <family val="1"/>
      </rPr>
      <t xml:space="preserve">
09.02.02.01</t>
    </r>
  </si>
  <si>
    <t>2017 METŲ VALSTYBĖS BIUDŽETO DOTACIJOS IŠ KITŲ VALDYMO LYGIŲ SAVIVALDYBĖS BIUDŽETUI PROJEKTAMS FINANSUOTI  ASIGNAVIMAI</t>
  </si>
  <si>
    <t>Kėdainių rajono savivaldybės administracija iš viso</t>
  </si>
  <si>
    <t xml:space="preserve">Modernizuoti Kėdainių rajono Krakių Mikalojaus Katkaus gimnazijos pastatą Kauno g. 26, Krakių mstl., Kėdainių r. </t>
  </si>
  <si>
    <t>Rekonstruoti Šėtos socialinio ir ugdymo centrą Ramygalos g. 34 A, Šėtos mstl., Kėdainių r.</t>
  </si>
  <si>
    <t>iš jų: išlaidoms, susijusioms su pedagoginių darbuotojų skaičiaus optimizavimu</t>
  </si>
  <si>
    <t>iš jų: darbuotojų darbo apmokėjimo įstatymui laipsniškai įgyvendinti</t>
  </si>
  <si>
    <t xml:space="preserve"> darbuotojų darbo apmokėjimo įstatymui laipsniškai įgyvendinti</t>
  </si>
  <si>
    <t>Kėdainių r. Miegėnų pagrindinė mokykla</t>
  </si>
  <si>
    <t xml:space="preserve">Rekonstruoti Kėdainių miesto stadioną </t>
  </si>
  <si>
    <t>Specialioji tikslinė dotacija valstybės investicijų 2017 m. programoje numatytai švietimo įstaigų modernizavimo programai</t>
  </si>
  <si>
    <t xml:space="preserve">     Kėdainių r. Krakių Mikalojaus Katkaus gimnazijai, Kauno g. 26, Krakių mstl., Kėdainių r. </t>
  </si>
  <si>
    <t>Valstybės investicijų 2017 m. programoje numatytoms kapitalo investicijoms, iš jos:</t>
  </si>
  <si>
    <t xml:space="preserve">     valstybės investicijų 2017 m. programoje numatytai švietimo įstaigų modernizavimo programai</t>
  </si>
  <si>
    <t xml:space="preserve">     Kėdainių miesto Nuokalnės gatvei, kuri jungiasi su valstybinės reikšmės krašto keliu Nr. 195 Kėdainiai-Krekenava-Panevėžys, rekonstruoti</t>
  </si>
  <si>
    <t xml:space="preserve">     Kėdainių miesto Pramonės gatvei, kuri jungiasi su valstybinės reikšmės rajoniniu keliu Nr. 1906 Aukštutiniai Kaniūkai-Babtai-Labūnava-Kėdainiai, rekonstruoti</t>
  </si>
  <si>
    <t>15</t>
  </si>
  <si>
    <t>16</t>
  </si>
  <si>
    <t>17</t>
  </si>
  <si>
    <t>Modernizuoti Kėdainių šviesiosios gimnazijos pastatą Kėdainiuose, Didžioji g.60 (statybos konservavimo darbai)</t>
  </si>
  <si>
    <t>Buitinių nuotekų tinklų išplėtimo projektavimui Sirutiškio k., Surviliškio sen.</t>
  </si>
  <si>
    <t>3.1.3</t>
  </si>
  <si>
    <t xml:space="preserve">Modernizuoti Kėdainių rajono Truskavos pagrindinės mokyklos pastatą Gaisų g. 1, Pavermenio k., Kėdainių r. </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</si>
  <si>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</si>
  <si>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</si>
  <si>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</si>
  <si>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</si>
  <si>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</si>
  <si>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</si>
  <si>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</si>
  <si>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</si>
  <si>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</si>
  <si>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</si>
  <si>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</si>
  <si>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</si>
  <si>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</si>
  <si>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</si>
  <si>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</si>
  <si>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</si>
  <si>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</si>
  <si>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</si>
  <si>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</si>
  <si>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</si>
  <si>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</si>
  <si>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</si>
  <si>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</si>
  <si>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28.1</t>
  </si>
  <si>
    <t>28.2</t>
  </si>
  <si>
    <t>28.3</t>
  </si>
  <si>
    <t>29.1</t>
  </si>
  <si>
    <t>31.1</t>
  </si>
  <si>
    <t>35.1</t>
  </si>
  <si>
    <t>35.2</t>
  </si>
  <si>
    <t>35.3</t>
  </si>
  <si>
    <t>35.4</t>
  </si>
  <si>
    <t>35.5</t>
  </si>
  <si>
    <t>35.6</t>
  </si>
  <si>
    <t>35.7</t>
  </si>
  <si>
    <t>35.8</t>
  </si>
  <si>
    <t>33.1</t>
  </si>
  <si>
    <t>33.2</t>
  </si>
  <si>
    <t>33.3</t>
  </si>
  <si>
    <t>33.4</t>
  </si>
  <si>
    <t>33.4.1</t>
  </si>
  <si>
    <t>33.4.2</t>
  </si>
  <si>
    <t>33.4.3</t>
  </si>
  <si>
    <t>33.4.4</t>
  </si>
  <si>
    <t>33.4.5</t>
  </si>
  <si>
    <t>33.4.6</t>
  </si>
  <si>
    <t>33.4.7</t>
  </si>
  <si>
    <t>33.4.8</t>
  </si>
  <si>
    <t>33.4.9</t>
  </si>
  <si>
    <t>36.1</t>
  </si>
  <si>
    <t>36.2</t>
  </si>
  <si>
    <t>36.3</t>
  </si>
  <si>
    <t>36.4</t>
  </si>
  <si>
    <t>36.5</t>
  </si>
  <si>
    <t>36.6</t>
  </si>
  <si>
    <t>36.7</t>
  </si>
  <si>
    <t>36.8</t>
  </si>
  <si>
    <t>36.9</t>
  </si>
  <si>
    <t>36.10</t>
  </si>
  <si>
    <t>36.11</t>
  </si>
  <si>
    <t>36.12</t>
  </si>
  <si>
    <t>36.13</t>
  </si>
  <si>
    <t>36.14</t>
  </si>
  <si>
    <t>36.15</t>
  </si>
  <si>
    <t>36.16</t>
  </si>
  <si>
    <t>36.17</t>
  </si>
  <si>
    <t>36.17.1</t>
  </si>
  <si>
    <t>36.17.2</t>
  </si>
  <si>
    <t>36.17.3</t>
  </si>
  <si>
    <t>36.17.4</t>
  </si>
  <si>
    <t>43.1</t>
  </si>
  <si>
    <t>43.2</t>
  </si>
  <si>
    <t>43.3</t>
  </si>
  <si>
    <t>43.4</t>
  </si>
  <si>
    <t>43.5</t>
  </si>
  <si>
    <t>43.6</t>
  </si>
  <si>
    <t>43.7</t>
  </si>
  <si>
    <t>43.8</t>
  </si>
  <si>
    <t>43.9</t>
  </si>
  <si>
    <t>43.10</t>
  </si>
  <si>
    <t>43.10.1</t>
  </si>
  <si>
    <t>43.10.2</t>
  </si>
  <si>
    <t>43.10.3</t>
  </si>
  <si>
    <t>43.10.4</t>
  </si>
  <si>
    <t>43.10.5</t>
  </si>
  <si>
    <t>56.1</t>
  </si>
  <si>
    <t>56.2</t>
  </si>
  <si>
    <t>56.3</t>
  </si>
  <si>
    <t>56.4</t>
  </si>
  <si>
    <t>76.1</t>
  </si>
  <si>
    <t>76.2</t>
  </si>
  <si>
    <t>76.3</t>
  </si>
  <si>
    <t>76.4</t>
  </si>
  <si>
    <t>76.4.1</t>
  </si>
  <si>
    <t>76.4.2</t>
  </si>
  <si>
    <t>76.4.3</t>
  </si>
  <si>
    <t>76.4.4</t>
  </si>
  <si>
    <t>76.4.5</t>
  </si>
  <si>
    <t>79.1</t>
  </si>
  <si>
    <t>79.2</t>
  </si>
  <si>
    <t>79.3</t>
  </si>
  <si>
    <t>81.1</t>
  </si>
  <si>
    <t>81.1.1</t>
  </si>
  <si>
    <t>81.1.2</t>
  </si>
  <si>
    <t>81.1.3</t>
  </si>
  <si>
    <t>81.1.4</t>
  </si>
  <si>
    <t>81.1.5</t>
  </si>
  <si>
    <t>81.1.6</t>
  </si>
  <si>
    <t>81.1.7</t>
  </si>
  <si>
    <t>81.1.8</t>
  </si>
  <si>
    <t>81.1.9</t>
  </si>
  <si>
    <t>81.1.10</t>
  </si>
  <si>
    <t>81.1.11</t>
  </si>
  <si>
    <t>81.1.12</t>
  </si>
  <si>
    <t>81.1.13</t>
  </si>
  <si>
    <t>81.1.14</t>
  </si>
  <si>
    <t>81.1.15</t>
  </si>
  <si>
    <t>81.1.16</t>
  </si>
  <si>
    <t>81.1.17</t>
  </si>
  <si>
    <t>81.1.18</t>
  </si>
  <si>
    <t>81.1.19</t>
  </si>
  <si>
    <t>81.1.20</t>
  </si>
  <si>
    <t>81.1.21</t>
  </si>
  <si>
    <t>81.1.22</t>
  </si>
  <si>
    <t>81.1.23</t>
  </si>
  <si>
    <t>81.1.24</t>
  </si>
  <si>
    <t>81.1.25</t>
  </si>
  <si>
    <t>81.1.26</t>
  </si>
  <si>
    <t>81.1.27</t>
  </si>
  <si>
    <t>81.1.28</t>
  </si>
  <si>
    <t>81.1.29</t>
  </si>
  <si>
    <t>81.1.30</t>
  </si>
  <si>
    <t>81.1.31</t>
  </si>
  <si>
    <t>81.1.32</t>
  </si>
  <si>
    <t>81.1.33</t>
  </si>
  <si>
    <t>81.1.34</t>
  </si>
  <si>
    <t>81.2</t>
  </si>
  <si>
    <t>81.3</t>
  </si>
  <si>
    <t>81.4</t>
  </si>
  <si>
    <t>94.1</t>
  </si>
  <si>
    <t>94.2</t>
  </si>
  <si>
    <t>94.2.1</t>
  </si>
  <si>
    <t>94.3</t>
  </si>
  <si>
    <t>94.4</t>
  </si>
  <si>
    <t>94.5</t>
  </si>
  <si>
    <t>107.1</t>
  </si>
  <si>
    <t>107.1.1</t>
  </si>
  <si>
    <t>109.1</t>
  </si>
  <si>
    <t>109.2</t>
  </si>
  <si>
    <t>113.1</t>
  </si>
  <si>
    <t>113.2</t>
  </si>
  <si>
    <t>113.3</t>
  </si>
  <si>
    <t>113.4</t>
  </si>
  <si>
    <t>113.5</t>
  </si>
  <si>
    <t>113.6</t>
  </si>
  <si>
    <t>114.1</t>
  </si>
  <si>
    <t>4.1</t>
  </si>
  <si>
    <t>4.2</t>
  </si>
  <si>
    <t>6.1</t>
  </si>
  <si>
    <t>6.2</t>
  </si>
  <si>
    <t>8.1</t>
  </si>
  <si>
    <t>8.2</t>
  </si>
  <si>
    <t>8.3</t>
  </si>
  <si>
    <t>10.1</t>
  </si>
  <si>
    <t>12.1</t>
  </si>
  <si>
    <t>31.2</t>
  </si>
  <si>
    <t>31.3</t>
  </si>
  <si>
    <t>3.1</t>
  </si>
  <si>
    <t>5.1</t>
  </si>
  <si>
    <t>14.1</t>
  </si>
  <si>
    <t>17.1</t>
  </si>
  <si>
    <t>3.1.1</t>
  </si>
  <si>
    <t>3.1.2</t>
  </si>
  <si>
    <t>7.1</t>
  </si>
  <si>
    <t>7.1.1</t>
  </si>
  <si>
    <t>7.1.2</t>
  </si>
  <si>
    <t>9.1</t>
  </si>
  <si>
    <t>9.1.1</t>
  </si>
  <si>
    <t>13.1</t>
  </si>
  <si>
    <t>13.1.1</t>
  </si>
  <si>
    <t>13.1.2</t>
  </si>
  <si>
    <t>15.1</t>
  </si>
  <si>
    <t>15.2</t>
  </si>
  <si>
    <t>2.1</t>
  </si>
  <si>
    <t>1.1</t>
  </si>
  <si>
    <t>1.2</t>
  </si>
  <si>
    <t>1.3</t>
  </si>
  <si>
    <t>1.4</t>
  </si>
  <si>
    <t>1.5</t>
  </si>
  <si>
    <t>1.6</t>
  </si>
  <si>
    <t>1.7</t>
  </si>
  <si>
    <t>1.8</t>
  </si>
  <si>
    <t>1.9</t>
  </si>
  <si>
    <t>1.10</t>
  </si>
  <si>
    <t>1.11</t>
  </si>
  <si>
    <t>1.12</t>
  </si>
  <si>
    <t>1.13</t>
  </si>
  <si>
    <t>1.14</t>
  </si>
  <si>
    <t>1.15</t>
  </si>
  <si>
    <t>2.1.1</t>
  </si>
  <si>
    <t>2.1.2</t>
  </si>
  <si>
    <t>2.1.3</t>
  </si>
  <si>
    <t>2.1.4</t>
  </si>
  <si>
    <t>2.2</t>
  </si>
  <si>
    <t>4.1.1</t>
  </si>
  <si>
    <t>4.1.1.1</t>
  </si>
  <si>
    <t>4.1.1.2</t>
  </si>
  <si>
    <t>4.1.1.3</t>
  </si>
  <si>
    <t>4.1.1.4</t>
  </si>
  <si>
    <t>4.1.1.5</t>
  </si>
  <si>
    <t>4.1.2</t>
  </si>
  <si>
    <t>4.1.3</t>
  </si>
  <si>
    <t>4.1.4</t>
  </si>
  <si>
    <t>4.1.5</t>
  </si>
  <si>
    <t>4.2.1</t>
  </si>
  <si>
    <t>4.2.2</t>
  </si>
  <si>
    <t>4.2.3</t>
  </si>
  <si>
    <t>4.2.4</t>
  </si>
  <si>
    <t>4.2.5</t>
  </si>
  <si>
    <t>4.2.6</t>
  </si>
  <si>
    <t>4.2.7</t>
  </si>
  <si>
    <t>4.2.8</t>
  </si>
  <si>
    <t>4.2.9</t>
  </si>
  <si>
    <t>4.2.10</t>
  </si>
  <si>
    <t>4.3</t>
  </si>
  <si>
    <t>4.3.1</t>
  </si>
  <si>
    <t>4.3.2</t>
  </si>
  <si>
    <t>4.3.3</t>
  </si>
  <si>
    <t>4.4</t>
  </si>
  <si>
    <t>4.4.1</t>
  </si>
  <si>
    <t>4.4.1.1</t>
  </si>
  <si>
    <t>4.4.1.2</t>
  </si>
  <si>
    <t>4.4.1.3</t>
  </si>
  <si>
    <t>4.4.1.4</t>
  </si>
  <si>
    <t>4.4.1.5</t>
  </si>
  <si>
    <t>4.4.1.6</t>
  </si>
  <si>
    <t>4.4.1.7</t>
  </si>
  <si>
    <t>4.4.1.8</t>
  </si>
  <si>
    <t>4.4.1.9</t>
  </si>
  <si>
    <t>4.4.1.10</t>
  </si>
  <si>
    <t>4.4.1.11</t>
  </si>
  <si>
    <t>4.4.2</t>
  </si>
  <si>
    <t>4.4.3</t>
  </si>
  <si>
    <t>4.5</t>
  </si>
  <si>
    <t>4.6</t>
  </si>
  <si>
    <t>2.3</t>
  </si>
  <si>
    <t xml:space="preserve">                                                 1 priedas</t>
  </si>
  <si>
    <t>Valstybinėms (perduotoms savivaldybėms) funkcijoms atlikti, iš jos:</t>
  </si>
  <si>
    <t>darbuotojų darbo apmokėjimo įstatymui laipsniškai įgyvendinti</t>
  </si>
  <si>
    <t>20.1</t>
  </si>
  <si>
    <t>20.2</t>
  </si>
  <si>
    <t>Kėdainių pagalbos šeimai centras</t>
  </si>
  <si>
    <t xml:space="preserve">Babėnų karjero įžūvinimui baltaisiais amūrais </t>
  </si>
  <si>
    <t>5.2</t>
  </si>
  <si>
    <t>Kėdainių r. Truskavos pagrindinei mokyklai, Gaisų g. 1, Pavermenio k., Truskavos sen., Kėdainių r. sav.</t>
  </si>
  <si>
    <t>Dotnuvėlės upelio pakrančių valymui, tvarkymui miesto parke</t>
  </si>
  <si>
    <t>Kėdainių rajono savivaldybės administracija</t>
  </si>
  <si>
    <t xml:space="preserve">                                                                  Kėdainių rajono savivaldybės tarybos</t>
  </si>
  <si>
    <t>Sutvarkyti/sukurti atviras viešąsias erdves Kėdainių rajone, pritaikant jas kaimo bendruomenės poreikiams bei laisvalaikiui</t>
  </si>
  <si>
    <t>08.01.01.02</t>
  </si>
  <si>
    <t>`</t>
  </si>
  <si>
    <t>Finansuoti neįgaliųjų socialinės integracijos per kūno kultūrą ir sportą projektus</t>
  </si>
  <si>
    <t>Rekonstruoti/įrengti/modernizuoti Kėdainių miesto gatvių apšvietimą (Mindaugo, Pavasario, Šermukšnių, Šilelio, Kruopinių, Vilniaus,  Kanapinsko, Respublikos, Rasos, Liaudies, Janušavos, Gedimino, Pavasario, Josvainių, Smilgos, Tilto, Janušavos, Lauko,  J.Telegos, Knypavos, Kęstučio, Daukšos, Dariaus ir Girėno,  Liepų al., Šėtos  gatvės ir kt.)</t>
  </si>
  <si>
    <t>79.4</t>
  </si>
  <si>
    <t>79.4.1</t>
  </si>
  <si>
    <t>79.4.2</t>
  </si>
  <si>
    <t>79.4.3</t>
  </si>
  <si>
    <t>79.4.4</t>
  </si>
  <si>
    <t>79.4.5</t>
  </si>
  <si>
    <t>79.4.6</t>
  </si>
  <si>
    <t>79.4.7</t>
  </si>
  <si>
    <t>79.4.8</t>
  </si>
  <si>
    <t>79.4.9</t>
  </si>
  <si>
    <t>79.4.10</t>
  </si>
  <si>
    <t>79.4.11</t>
  </si>
  <si>
    <t>79.4.12</t>
  </si>
  <si>
    <t>79.4.13</t>
  </si>
  <si>
    <t>79.4.14</t>
  </si>
  <si>
    <t>79.4.15</t>
  </si>
  <si>
    <t>79.4.16</t>
  </si>
  <si>
    <t>79.4.17</t>
  </si>
  <si>
    <t>79.4.18</t>
  </si>
  <si>
    <t>56.5</t>
  </si>
  <si>
    <t>56.5.1</t>
  </si>
  <si>
    <t>Kėdainių lopšelis-darželis "Puriena"</t>
  </si>
  <si>
    <t>Kėdainių lopšelis-darželis "Vaikystė"</t>
  </si>
  <si>
    <t>Remontuoti viešuosius kelius</t>
  </si>
  <si>
    <t>Remontuoti šeimynos "Alrudai" gyvenamąsias patalpas</t>
  </si>
  <si>
    <t>Remontuoti šeimynos "Kampučiai II" gyvenamąsias patalpas</t>
  </si>
  <si>
    <t>Rekonstruoti Kėdainių rajono savivaldybės pastatą, esantį Didžiosios Rinkos a.4, Kėdainiuose, įrengiant Mikalojaus Daukšos viešosios bibliotekos vaikų ir jaunimo skyrių</t>
  </si>
  <si>
    <t xml:space="preserve">                                                                  2017 m. lapkričio 24 d. sprendimo Nr. TS-</t>
  </si>
  <si>
    <t xml:space="preserve">                                                                                        2017 m. lapkričio 24 d. sprendimo Nr. TS -</t>
  </si>
  <si>
    <t xml:space="preserve">                                                                                           2017 m. lapkričio 24 d. sprendimo Nr. TS -</t>
  </si>
  <si>
    <t>09.05.01.01  09.05.01.02 09.05.01.03</t>
  </si>
  <si>
    <t>09.01.01.01  09.01.02.01 09.02.01.01</t>
  </si>
  <si>
    <r>
      <t xml:space="preserve">06.02.01.01 08.02.01.07  </t>
    </r>
    <r>
      <rPr>
        <sz val="10"/>
        <rFont val="Arial"/>
        <family val="1"/>
      </rPr>
      <t>08.02.01.08 09.01.01.01  09.01.02.01 09.02.01.01
09.02.02.01 10.02.01.02</t>
    </r>
  </si>
  <si>
    <t>01.03.02.09 07.06.01.01 08.02.01.08 
09.01.01.01  09.01.02.01 09.02.01.01
09.02.02.01</t>
  </si>
  <si>
    <t>43.10.6</t>
  </si>
  <si>
    <t>43.10.7</t>
  </si>
  <si>
    <t xml:space="preserve">                                                                                            2017 m. lapkričio 24 d. sprendimo Nr. TS - </t>
  </si>
  <si>
    <t xml:space="preserve">                                                                                          2017 m. lapkričio 24 d. sprendimo Nr. TS -</t>
  </si>
  <si>
    <t xml:space="preserve">                                                                                        2017 m. lapkričio 24 d. sprendimo Nr. TS - </t>
  </si>
  <si>
    <t xml:space="preserve">                                                                                         2017 m. lapkričio 24 d. sprendimo Nr. TS - </t>
  </si>
  <si>
    <t>10.2</t>
  </si>
  <si>
    <t xml:space="preserve">                                                                                                2017 m. lapkričio 24 d. sprendimo Nr. TS - </t>
  </si>
  <si>
    <t>59.1</t>
  </si>
  <si>
    <t>59.2</t>
  </si>
  <si>
    <t>59.3</t>
  </si>
  <si>
    <t>59.4</t>
  </si>
  <si>
    <t>59.5</t>
  </si>
  <si>
    <t>59.6</t>
  </si>
  <si>
    <t>59.7</t>
  </si>
  <si>
    <t xml:space="preserve">                                                                                       2017 m. lapkričio 24 d. sprendimo Nr. TS - </t>
  </si>
  <si>
    <t>14 priedas</t>
  </si>
  <si>
    <t>12  priedas</t>
  </si>
  <si>
    <t xml:space="preserve">                                                                                     2017 m. lapkričio 24 d. sprendimo Nr. TS -</t>
  </si>
  <si>
    <t xml:space="preserve">                                                                      2017 m. lapkričio 24 d. sprendimo Nr. TS -</t>
  </si>
  <si>
    <t>13  priedas</t>
  </si>
  <si>
    <t>Vykdyti aplinkos apsaugos rėmimo specialiąją programą (pridedama 14 priedas)</t>
  </si>
  <si>
    <t xml:space="preserve">     Šėtos socialinio ir ugdymo centro Ramygalos g. 34 A, Šėtos mstl., Kėdainių r., rekonstrukcijai</t>
  </si>
  <si>
    <t>Atlikti miesto Rotušės vidaus remonto darbus</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</si>
</sst>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quot;Taip&quot;;&quot;Taip&quot;;&quot;Ne&quot;"/>
    <numFmt numFmtId="183" formatCode="&quot;Teisinga&quot;;&quot;Teisinga&quot;;&quot;Klaidinga&quot;"/>
    <numFmt numFmtId="184" formatCode="[$€-2]\ ###,000_);[Red]\([$€-2]\ ###,000\)"/>
    <numFmt numFmtId="185" formatCode="[$-427]yyyy\ &quot;m.&quot;\ mmmm\ d\ &quot;d.&quot;"/>
    <numFmt numFmtId="186" formatCode="0.0;\-0.0;;"/>
    <numFmt numFmtId="187" formatCode="0.0_ ;\-0.0\ "/>
    <numFmt numFmtId="188" formatCode="0.000"/>
    <numFmt numFmtId="189" formatCode="#,##0.0_ ;\-#,##0.0\ "/>
    <numFmt numFmtId="190" formatCode="#,##0.00\ _L_t"/>
    <numFmt numFmtId="191" formatCode="#,##0.0\ _L_t"/>
    <numFmt numFmtId="192" formatCode="0;\-0;;"/>
    <numFmt numFmtId="193" formatCode="#,##0_ ;\-#,##0\ "/>
    <numFmt numFmtId="194" formatCode="0_ ;\-0\ "/>
    <numFmt numFmtId="195" formatCode="0.0;\-0.0;"/>
    <numFmt numFmtId="196" formatCode="_(* #,##0.0_);_(* \(#,##0.0\);_(* &quot;-&quot;??_);_(@_)"/>
  </numFmts>
  <fonts count="57">
    <font>
      <sz val="10"/>
      <name val="Arial"/>
      <family val="0"/>
    </font>
    <font>
      <sz val="10"/>
      <name val="Times New Roman"/>
      <family val="1"/>
    </font>
    <font>
      <b/>
      <sz val="10"/>
      <name val="Times New Roman"/>
      <family val="1"/>
    </font>
    <font>
      <sz val="12"/>
      <name val="Times New Roman"/>
      <family val="1"/>
    </font>
    <font>
      <sz val="9"/>
      <name val="Times New Roman"/>
      <family val="1"/>
    </font>
    <font>
      <sz val="8"/>
      <name val="Arial"/>
      <family val="2"/>
    </font>
    <font>
      <i/>
      <sz val="10"/>
      <name val="Times New Roman"/>
      <family val="1"/>
    </font>
    <font>
      <b/>
      <sz val="9"/>
      <name val="Times New Roman"/>
      <family val="1"/>
    </font>
    <font>
      <sz val="8"/>
      <name val="Times New Roman"/>
      <family val="1"/>
    </font>
    <font>
      <b/>
      <sz val="12"/>
      <name val="Times New Roman"/>
      <family val="1"/>
    </font>
    <font>
      <b/>
      <sz val="11"/>
      <name val="Times New Roman"/>
      <family val="1"/>
    </font>
    <font>
      <b/>
      <sz val="10"/>
      <color indexed="8"/>
      <name val="Times New Roman"/>
      <family val="1"/>
    </font>
    <font>
      <sz val="10"/>
      <color indexed="8"/>
      <name val="Times New Roman"/>
      <family val="1"/>
    </font>
    <font>
      <sz val="11"/>
      <name val="Calibri"/>
      <family val="2"/>
    </font>
    <font>
      <sz val="10"/>
      <color indexed="9"/>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2"/>
    </font>
    <font>
      <sz val="11"/>
      <color indexed="20"/>
      <name val="Calibri"/>
      <family val="2"/>
    </font>
    <font>
      <sz val="11"/>
      <color indexed="17"/>
      <name val="Calibri"/>
      <family val="2"/>
    </font>
    <font>
      <u val="single"/>
      <sz val="10"/>
      <color indexed="12"/>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2"/>
    </font>
    <font>
      <sz val="11"/>
      <color rgb="FF9C0006"/>
      <name val="Calibri"/>
      <family val="2"/>
    </font>
    <font>
      <sz val="11"/>
      <color rgb="FF006100"/>
      <name val="Calibri"/>
      <family val="2"/>
    </font>
    <font>
      <u val="single"/>
      <sz val="10"/>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
      <b/>
      <sz val="10"/>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8" fillId="0" borderId="3" applyNumberFormat="0" applyFill="0" applyAlignment="0" applyProtection="0"/>
    <xf numFmtId="0" fontId="38" fillId="0" borderId="0" applyNumberFormat="0" applyFill="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0" applyNumberFormat="0" applyBorder="0" applyAlignment="0" applyProtection="0"/>
    <xf numFmtId="0" fontId="44" fillId="0" borderId="0" applyNumberFormat="0" applyFill="0" applyBorder="0" applyAlignment="0" applyProtection="0"/>
    <xf numFmtId="0" fontId="0" fillId="0" borderId="0">
      <alignment/>
      <protection/>
    </xf>
    <xf numFmtId="0" fontId="1" fillId="0" borderId="0">
      <alignment/>
      <protection/>
    </xf>
    <xf numFmtId="0" fontId="0" fillId="0" borderId="0">
      <alignment/>
      <protection/>
    </xf>
    <xf numFmtId="0" fontId="37" fillId="0" borderId="0">
      <alignment/>
      <protection/>
    </xf>
    <xf numFmtId="0" fontId="45" fillId="0" borderId="0" applyNumberFormat="0" applyFill="0" applyBorder="0" applyAlignment="0" applyProtection="0"/>
    <xf numFmtId="0" fontId="46" fillId="22" borderId="4" applyNumberFormat="0" applyAlignment="0" applyProtection="0"/>
    <xf numFmtId="0" fontId="47"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37"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0" fontId="48" fillId="24"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6" applyNumberFormat="0" applyFon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22" borderId="5"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32"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cellStyleXfs>
  <cellXfs count="337">
    <xf numFmtId="0" fontId="0" fillId="0" borderId="0" xfId="0" applyAlignment="1">
      <alignment/>
    </xf>
    <xf numFmtId="180" fontId="1" fillId="0" borderId="0" xfId="0" applyNumberFormat="1" applyFont="1" applyFill="1" applyAlignment="1">
      <alignment/>
    </xf>
    <xf numFmtId="0" fontId="1" fillId="0" borderId="0" xfId="0" applyFont="1" applyFill="1" applyAlignment="1">
      <alignment/>
    </xf>
    <xf numFmtId="49" fontId="1" fillId="0" borderId="0" xfId="0" applyNumberFormat="1" applyFont="1" applyFill="1" applyAlignment="1">
      <alignment horizontal="center"/>
    </xf>
    <xf numFmtId="0" fontId="2"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horizontal="right"/>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right"/>
    </xf>
    <xf numFmtId="0" fontId="1" fillId="0" borderId="0" xfId="0" applyFont="1" applyFill="1" applyAlignment="1">
      <alignment horizontal="center"/>
    </xf>
    <xf numFmtId="0" fontId="1" fillId="0" borderId="0" xfId="0" applyFont="1" applyFill="1" applyBorder="1" applyAlignment="1">
      <alignment horizontal="right"/>
    </xf>
    <xf numFmtId="180" fontId="1" fillId="0" borderId="0" xfId="0" applyNumberFormat="1" applyFont="1" applyFill="1" applyBorder="1" applyAlignment="1">
      <alignment horizontal="right"/>
    </xf>
    <xf numFmtId="0" fontId="1" fillId="0" borderId="10" xfId="0" applyFont="1" applyFill="1" applyBorder="1" applyAlignment="1">
      <alignment/>
    </xf>
    <xf numFmtId="180" fontId="1" fillId="0" borderId="11" xfId="0" applyNumberFormat="1" applyFont="1" applyFill="1" applyBorder="1" applyAlignment="1">
      <alignment wrapText="1"/>
    </xf>
    <xf numFmtId="180" fontId="1" fillId="0" borderId="10" xfId="0" applyNumberFormat="1" applyFont="1" applyFill="1" applyBorder="1" applyAlignment="1">
      <alignment/>
    </xf>
    <xf numFmtId="0" fontId="1" fillId="0" borderId="0" xfId="0" applyFont="1" applyFill="1" applyBorder="1" applyAlignment="1">
      <alignment/>
    </xf>
    <xf numFmtId="180" fontId="2" fillId="0" borderId="0" xfId="0" applyNumberFormat="1" applyFont="1" applyFill="1" applyAlignment="1">
      <alignment/>
    </xf>
    <xf numFmtId="0" fontId="1" fillId="0" borderId="0" xfId="0" applyFont="1" applyFill="1" applyAlignment="1">
      <alignment wrapText="1"/>
    </xf>
    <xf numFmtId="0" fontId="2" fillId="0" borderId="10" xfId="0" applyFont="1" applyFill="1" applyBorder="1" applyAlignment="1">
      <alignment horizont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49" fontId="1" fillId="0" borderId="0" xfId="0" applyNumberFormat="1" applyFont="1" applyFill="1" applyBorder="1" applyAlignment="1">
      <alignment horizontal="center"/>
    </xf>
    <xf numFmtId="0" fontId="1" fillId="0" borderId="0" xfId="0" applyFont="1" applyFill="1" applyBorder="1" applyAlignment="1">
      <alignment wrapText="1"/>
    </xf>
    <xf numFmtId="49" fontId="4" fillId="0" borderId="0" xfId="0" applyNumberFormat="1" applyFont="1" applyFill="1" applyBorder="1" applyAlignment="1">
      <alignment horizontal="right"/>
    </xf>
    <xf numFmtId="180" fontId="1" fillId="0" borderId="0" xfId="0" applyNumberFormat="1" applyFont="1" applyFill="1" applyBorder="1" applyAlignment="1">
      <alignment/>
    </xf>
    <xf numFmtId="0" fontId="3" fillId="0" borderId="0" xfId="0" applyFont="1" applyFill="1" applyAlignment="1">
      <alignment horizontal="right"/>
    </xf>
    <xf numFmtId="0" fontId="4" fillId="0" borderId="0" xfId="0" applyFont="1" applyFill="1" applyAlignment="1">
      <alignment/>
    </xf>
    <xf numFmtId="0" fontId="1" fillId="0" borderId="10" xfId="0" applyFont="1" applyFill="1" applyBorder="1" applyAlignment="1">
      <alignment horizontal="center" vertical="center" wrapText="1"/>
    </xf>
    <xf numFmtId="180" fontId="1" fillId="0" borderId="11" xfId="0" applyNumberFormat="1" applyFont="1" applyFill="1" applyBorder="1" applyAlignment="1">
      <alignment/>
    </xf>
    <xf numFmtId="0" fontId="1" fillId="0" borderId="10" xfId="0" applyFont="1" applyFill="1" applyBorder="1" applyAlignment="1">
      <alignment horizontal="center"/>
    </xf>
    <xf numFmtId="180" fontId="1" fillId="0" borderId="11" xfId="0" applyNumberFormat="1" applyFont="1" applyFill="1" applyBorder="1" applyAlignment="1">
      <alignment vertical="center" wrapText="1"/>
    </xf>
    <xf numFmtId="0" fontId="4" fillId="0" borderId="0" xfId="0" applyFont="1" applyFill="1" applyAlignment="1">
      <alignment horizontal="right"/>
    </xf>
    <xf numFmtId="0" fontId="1" fillId="0" borderId="0" xfId="0" applyFont="1" applyFill="1" applyAlignment="1">
      <alignment/>
    </xf>
    <xf numFmtId="0" fontId="2" fillId="0" borderId="10" xfId="0" applyFont="1" applyFill="1" applyBorder="1" applyAlignment="1">
      <alignment horizontal="center"/>
    </xf>
    <xf numFmtId="180" fontId="1" fillId="0" borderId="11" xfId="0" applyNumberFormat="1" applyFont="1" applyFill="1" applyBorder="1" applyAlignment="1">
      <alignment vertical="center"/>
    </xf>
    <xf numFmtId="180" fontId="1" fillId="0" borderId="10" xfId="62" applyNumberFormat="1" applyFont="1" applyFill="1" applyBorder="1" applyAlignment="1">
      <alignment vertical="center"/>
      <protection/>
    </xf>
    <xf numFmtId="180" fontId="1" fillId="0" borderId="0" xfId="0" applyNumberFormat="1" applyFont="1" applyFill="1" applyAlignment="1">
      <alignment horizontal="right"/>
    </xf>
    <xf numFmtId="180" fontId="1" fillId="0" borderId="11" xfId="0" applyNumberFormat="1" applyFont="1" applyFill="1" applyBorder="1" applyAlignment="1">
      <alignment horizontal="left" vertical="center" wrapText="1"/>
    </xf>
    <xf numFmtId="49" fontId="1" fillId="0" borderId="0" xfId="0" applyNumberFormat="1" applyFont="1" applyFill="1" applyAlignment="1">
      <alignment horizontal="center" vertical="center"/>
    </xf>
    <xf numFmtId="0" fontId="7" fillId="0" borderId="10" xfId="0" applyFont="1" applyFill="1" applyBorder="1" applyAlignment="1">
      <alignment horizontal="center" vertical="center" wrapText="1"/>
    </xf>
    <xf numFmtId="0" fontId="8" fillId="0" borderId="0" xfId="0" applyFont="1" applyFill="1" applyAlignment="1">
      <alignment/>
    </xf>
    <xf numFmtId="0" fontId="1" fillId="0" borderId="10" xfId="60" applyFont="1" applyFill="1" applyBorder="1" applyAlignment="1">
      <alignment vertical="center" wrapText="1"/>
      <protection/>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180" fontId="1" fillId="0" borderId="12" xfId="0" applyNumberFormat="1" applyFont="1" applyFill="1" applyBorder="1" applyAlignment="1">
      <alignment vertical="center" wrapText="1"/>
    </xf>
    <xf numFmtId="180" fontId="1" fillId="0" borderId="12"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7" fillId="0" borderId="10" xfId="0" applyFont="1" applyFill="1" applyBorder="1" applyAlignment="1">
      <alignment horizontal="center" vertical="center"/>
    </xf>
    <xf numFmtId="0" fontId="4" fillId="0" borderId="10" xfId="0" applyFont="1" applyFill="1" applyBorder="1" applyAlignment="1">
      <alignment/>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180" fontId="1" fillId="0" borderId="14" xfId="0" applyNumberFormat="1" applyFont="1" applyFill="1" applyBorder="1" applyAlignment="1">
      <alignment/>
    </xf>
    <xf numFmtId="180" fontId="1" fillId="0" borderId="14" xfId="0" applyNumberFormat="1" applyFont="1" applyFill="1" applyBorder="1" applyAlignment="1">
      <alignment vertical="center"/>
    </xf>
    <xf numFmtId="49" fontId="1" fillId="0" borderId="0" xfId="0" applyNumberFormat="1" applyFont="1" applyFill="1" applyAlignment="1">
      <alignment/>
    </xf>
    <xf numFmtId="49" fontId="4"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Border="1" applyAlignment="1">
      <alignment horizontal="right"/>
    </xf>
    <xf numFmtId="49" fontId="1" fillId="0" borderId="0" xfId="0" applyNumberFormat="1" applyFont="1" applyFill="1" applyBorder="1" applyAlignment="1">
      <alignment horizontal="left"/>
    </xf>
    <xf numFmtId="49" fontId="2" fillId="0" borderId="14" xfId="0" applyNumberFormat="1" applyFont="1" applyFill="1" applyBorder="1" applyAlignment="1">
      <alignment horizontal="right"/>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180" fontId="1" fillId="0" borderId="0" xfId="0" applyNumberFormat="1" applyFont="1" applyFill="1" applyAlignment="1">
      <alignment horizontal="left"/>
    </xf>
    <xf numFmtId="0" fontId="2" fillId="0" borderId="12"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1" fillId="0" borderId="10" xfId="0" applyFont="1" applyFill="1" applyBorder="1" applyAlignment="1">
      <alignment horizontal="right" vertical="center"/>
    </xf>
    <xf numFmtId="0" fontId="4" fillId="0" borderId="10" xfId="0" applyFont="1" applyFill="1" applyBorder="1" applyAlignment="1">
      <alignment horizontal="right" vertical="center"/>
    </xf>
    <xf numFmtId="0" fontId="3" fillId="0" borderId="0" xfId="0" applyFont="1" applyFill="1" applyAlignment="1">
      <alignment/>
    </xf>
    <xf numFmtId="0" fontId="1" fillId="0" borderId="0" xfId="0" applyFont="1" applyFill="1" applyAlignment="1">
      <alignment vertical="center"/>
    </xf>
    <xf numFmtId="0" fontId="9" fillId="0" borderId="0" xfId="0" applyFont="1" applyFill="1" applyAlignment="1">
      <alignment/>
    </xf>
    <xf numFmtId="0" fontId="9" fillId="0" borderId="0" xfId="0" applyFont="1" applyFill="1" applyAlignment="1">
      <alignment horizontal="justify"/>
    </xf>
    <xf numFmtId="180" fontId="3" fillId="0" borderId="0" xfId="0" applyNumberFormat="1" applyFont="1" applyFill="1" applyAlignment="1">
      <alignment/>
    </xf>
    <xf numFmtId="180" fontId="2" fillId="0" borderId="0" xfId="0" applyNumberFormat="1" applyFont="1" applyFill="1" applyBorder="1" applyAlignment="1">
      <alignment/>
    </xf>
    <xf numFmtId="0" fontId="54" fillId="0" borderId="0" xfId="0" applyFont="1" applyFill="1" applyAlignment="1">
      <alignment/>
    </xf>
    <xf numFmtId="49" fontId="2" fillId="0" borderId="14" xfId="0" applyNumberFormat="1" applyFont="1" applyFill="1" applyBorder="1" applyAlignment="1">
      <alignment horizontal="left" vertical="center" wrapText="1"/>
    </xf>
    <xf numFmtId="0" fontId="1" fillId="0" borderId="0" xfId="0" applyFont="1" applyFill="1" applyBorder="1" applyAlignment="1">
      <alignment/>
    </xf>
    <xf numFmtId="180" fontId="1" fillId="0" borderId="10" xfId="0" applyNumberFormat="1" applyFont="1" applyFill="1" applyBorder="1" applyAlignment="1">
      <alignment vertical="center" wrapText="1"/>
    </xf>
    <xf numFmtId="180" fontId="1" fillId="0" borderId="12" xfId="62" applyNumberFormat="1" applyFont="1" applyFill="1" applyBorder="1" applyAlignment="1">
      <alignment vertical="center"/>
      <protection/>
    </xf>
    <xf numFmtId="1" fontId="1" fillId="0" borderId="0" xfId="0" applyNumberFormat="1" applyFont="1" applyFill="1" applyAlignment="1">
      <alignment/>
    </xf>
    <xf numFmtId="180" fontId="8" fillId="0" borderId="0" xfId="0" applyNumberFormat="1" applyFont="1" applyFill="1" applyAlignment="1">
      <alignment/>
    </xf>
    <xf numFmtId="0" fontId="11" fillId="0" borderId="0" xfId="0" applyFont="1" applyFill="1" applyAlignment="1">
      <alignment horizontal="justify"/>
    </xf>
    <xf numFmtId="0" fontId="3" fillId="0" borderId="0" xfId="42" applyFont="1" applyFill="1" applyAlignment="1">
      <alignment horizontal="right"/>
      <protection/>
    </xf>
    <xf numFmtId="180" fontId="1" fillId="0" borderId="0" xfId="42" applyNumberFormat="1" applyFont="1" applyFill="1">
      <alignment/>
      <protection/>
    </xf>
    <xf numFmtId="0" fontId="2" fillId="0" borderId="0" xfId="42" applyFont="1" applyFill="1">
      <alignment/>
      <protection/>
    </xf>
    <xf numFmtId="0" fontId="1" fillId="0" borderId="0" xfId="42" applyFont="1" applyFill="1" applyAlignment="1">
      <alignment horizontal="right"/>
      <protection/>
    </xf>
    <xf numFmtId="0" fontId="1" fillId="0" borderId="10" xfId="42" applyFont="1" applyFill="1" applyBorder="1" applyAlignment="1">
      <alignment vertical="center" wrapText="1"/>
      <protection/>
    </xf>
    <xf numFmtId="180" fontId="1"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180" fontId="1" fillId="0" borderId="10" xfId="0" applyNumberFormat="1" applyFont="1" applyFill="1" applyBorder="1" applyAlignment="1">
      <alignment vertical="center"/>
    </xf>
    <xf numFmtId="49" fontId="1" fillId="0" borderId="10" xfId="0" applyNumberFormat="1" applyFont="1" applyFill="1" applyBorder="1" applyAlignment="1">
      <alignment vertical="center" wrapText="1"/>
    </xf>
    <xf numFmtId="0" fontId="1" fillId="0" borderId="0" xfId="42" applyFont="1" applyFill="1" applyBorder="1">
      <alignment/>
      <protection/>
    </xf>
    <xf numFmtId="0" fontId="1" fillId="0" borderId="10" xfId="42" applyFont="1" applyFill="1" applyBorder="1" applyAlignment="1">
      <alignment vertical="center"/>
      <protection/>
    </xf>
    <xf numFmtId="180" fontId="2" fillId="0" borderId="10" xfId="0" applyNumberFormat="1" applyFont="1" applyFill="1" applyBorder="1" applyAlignment="1">
      <alignment vertical="center" wrapText="1"/>
    </xf>
    <xf numFmtId="0" fontId="2" fillId="0" borderId="10" xfId="42" applyFont="1" applyFill="1" applyBorder="1" applyAlignment="1">
      <alignment vertical="center"/>
      <protection/>
    </xf>
    <xf numFmtId="0" fontId="1" fillId="0" borderId="10" xfId="42" applyFont="1" applyFill="1" applyBorder="1" applyAlignment="1">
      <alignment horizontal="left" vertical="center" wrapText="1"/>
      <protection/>
    </xf>
    <xf numFmtId="0" fontId="2" fillId="0" borderId="10" xfId="42" applyFont="1" applyFill="1" applyBorder="1" applyAlignment="1">
      <alignment horizontal="center" vertical="center"/>
      <protection/>
    </xf>
    <xf numFmtId="180" fontId="1" fillId="0" borderId="12" xfId="0" applyNumberFormat="1" applyFont="1" applyFill="1" applyBorder="1" applyAlignment="1">
      <alignment vertical="center"/>
    </xf>
    <xf numFmtId="180" fontId="1" fillId="0" borderId="10" xfId="0" applyNumberFormat="1" applyFont="1" applyFill="1" applyBorder="1" applyAlignment="1">
      <alignment horizontal="left" vertical="center"/>
    </xf>
    <xf numFmtId="1" fontId="3" fillId="0" borderId="0" xfId="0" applyNumberFormat="1" applyFont="1" applyFill="1" applyAlignment="1">
      <alignment/>
    </xf>
    <xf numFmtId="180" fontId="6" fillId="0" borderId="11" xfId="0" applyNumberFormat="1" applyFont="1" applyFill="1" applyBorder="1" applyAlignment="1">
      <alignment horizontal="left" vertical="center" wrapText="1"/>
    </xf>
    <xf numFmtId="0" fontId="1" fillId="0" borderId="10" xfId="0" applyFont="1" applyFill="1" applyBorder="1" applyAlignment="1">
      <alignment horizontal="center" vertical="center"/>
    </xf>
    <xf numFmtId="49" fontId="1" fillId="0" borderId="0" xfId="0" applyNumberFormat="1" applyFont="1" applyFill="1" applyAlignment="1">
      <alignment horizontal="right"/>
    </xf>
    <xf numFmtId="0" fontId="1" fillId="0" borderId="0" xfId="42" applyFont="1" applyFill="1">
      <alignment/>
      <protection/>
    </xf>
    <xf numFmtId="0" fontId="8" fillId="0" borderId="10" xfId="0" applyFont="1" applyFill="1" applyBorder="1" applyAlignment="1">
      <alignment horizontal="right" vertical="center"/>
    </xf>
    <xf numFmtId="0" fontId="1" fillId="0" borderId="0" xfId="42" applyFont="1" applyFill="1" applyAlignment="1">
      <alignment vertical="center"/>
      <protection/>
    </xf>
    <xf numFmtId="0" fontId="3" fillId="0" borderId="0" xfId="42" applyFont="1" applyFill="1" applyAlignment="1">
      <alignment horizontal="right" vertical="center"/>
      <protection/>
    </xf>
    <xf numFmtId="0" fontId="1" fillId="0" borderId="10" xfId="42" applyFont="1" applyFill="1" applyBorder="1" applyAlignment="1">
      <alignment horizontal="right" vertical="center"/>
      <protection/>
    </xf>
    <xf numFmtId="16" fontId="1" fillId="0" borderId="10" xfId="42" applyNumberFormat="1" applyFont="1" applyFill="1" applyBorder="1" applyAlignment="1">
      <alignment horizontal="right" vertical="center"/>
      <protection/>
    </xf>
    <xf numFmtId="49" fontId="1" fillId="0" borderId="10" xfId="42" applyNumberFormat="1" applyFont="1" applyFill="1" applyBorder="1" applyAlignment="1">
      <alignment horizontal="right" vertical="center"/>
      <protection/>
    </xf>
    <xf numFmtId="49" fontId="7" fillId="0" borderId="10" xfId="0" applyNumberFormat="1" applyFont="1" applyFill="1" applyBorder="1" applyAlignment="1">
      <alignment horizontal="left" vertical="center" wrapText="1"/>
    </xf>
    <xf numFmtId="1" fontId="1" fillId="0" borderId="0" xfId="0" applyNumberFormat="1" applyFont="1" applyFill="1" applyBorder="1" applyAlignment="1">
      <alignment/>
    </xf>
    <xf numFmtId="49" fontId="1" fillId="0" borderId="10" xfId="0" applyNumberFormat="1" applyFont="1" applyFill="1" applyBorder="1" applyAlignment="1">
      <alignment/>
    </xf>
    <xf numFmtId="180" fontId="1" fillId="0" borderId="12" xfId="0" applyNumberFormat="1" applyFont="1" applyFill="1" applyBorder="1" applyAlignment="1">
      <alignment wrapText="1"/>
    </xf>
    <xf numFmtId="195" fontId="1" fillId="0" borderId="10" xfId="0" applyNumberFormat="1" applyFont="1" applyFill="1" applyBorder="1" applyAlignment="1">
      <alignment horizontal="right" vertical="center"/>
    </xf>
    <xf numFmtId="195" fontId="2" fillId="0" borderId="10" xfId="0" applyNumberFormat="1" applyFont="1" applyFill="1" applyBorder="1" applyAlignment="1">
      <alignment horizontal="center" vertical="center"/>
    </xf>
    <xf numFmtId="195" fontId="2" fillId="0" borderId="10" xfId="0" applyNumberFormat="1" applyFont="1" applyFill="1" applyBorder="1" applyAlignment="1">
      <alignment horizontal="right" vertical="center"/>
    </xf>
    <xf numFmtId="195" fontId="2" fillId="0" borderId="10" xfId="0" applyNumberFormat="1" applyFont="1" applyFill="1" applyBorder="1" applyAlignment="1">
      <alignment horizontal="center" vertical="center" wrapText="1"/>
    </xf>
    <xf numFmtId="195" fontId="2" fillId="0" borderId="10" xfId="0" applyNumberFormat="1" applyFont="1" applyFill="1" applyBorder="1" applyAlignment="1">
      <alignment horizontal="right"/>
    </xf>
    <xf numFmtId="195" fontId="2" fillId="0" borderId="10" xfId="0" applyNumberFormat="1" applyFont="1" applyFill="1" applyBorder="1" applyAlignment="1">
      <alignment horizontal="center"/>
    </xf>
    <xf numFmtId="195" fontId="1" fillId="0" borderId="10" xfId="0" applyNumberFormat="1" applyFont="1" applyFill="1" applyBorder="1" applyAlignment="1">
      <alignment horizontal="right"/>
    </xf>
    <xf numFmtId="195" fontId="6" fillId="0" borderId="10" xfId="0" applyNumberFormat="1" applyFont="1" applyFill="1" applyBorder="1" applyAlignment="1">
      <alignment horizontal="right"/>
    </xf>
    <xf numFmtId="195" fontId="6" fillId="0" borderId="10" xfId="0" applyNumberFormat="1" applyFont="1" applyFill="1" applyBorder="1" applyAlignment="1">
      <alignment horizontal="right" vertical="center" wrapText="1"/>
    </xf>
    <xf numFmtId="195" fontId="1" fillId="0" borderId="10" xfId="0" applyNumberFormat="1" applyFont="1" applyFill="1" applyBorder="1" applyAlignment="1">
      <alignment horizontal="right" vertical="center" wrapText="1"/>
    </xf>
    <xf numFmtId="195" fontId="6" fillId="0" borderId="10" xfId="0" applyNumberFormat="1" applyFont="1" applyFill="1" applyBorder="1" applyAlignment="1">
      <alignment horizontal="right" vertical="center"/>
    </xf>
    <xf numFmtId="187" fontId="1" fillId="0" borderId="0" xfId="0" applyNumberFormat="1" applyFont="1" applyFill="1" applyAlignment="1">
      <alignment/>
    </xf>
    <xf numFmtId="180" fontId="2" fillId="0" borderId="10" xfId="0" applyNumberFormat="1" applyFont="1" applyFill="1" applyBorder="1" applyAlignment="1">
      <alignment horizontal="left" vertical="center" wrapText="1"/>
    </xf>
    <xf numFmtId="1" fontId="2" fillId="0" borderId="0" xfId="0" applyNumberFormat="1" applyFont="1" applyFill="1" applyAlignment="1">
      <alignment/>
    </xf>
    <xf numFmtId="180" fontId="1" fillId="0" borderId="0" xfId="0" applyNumberFormat="1" applyFont="1" applyFill="1" applyBorder="1" applyAlignment="1">
      <alignment horizontal="left" vertical="center" wrapText="1"/>
    </xf>
    <xf numFmtId="180" fontId="1" fillId="0" borderId="0" xfId="0" applyNumberFormat="1" applyFont="1" applyFill="1" applyBorder="1" applyAlignment="1">
      <alignment horizontal="center" vertical="center" wrapText="1"/>
    </xf>
    <xf numFmtId="181" fontId="1" fillId="0" borderId="10" xfId="0" applyNumberFormat="1" applyFont="1" applyFill="1" applyBorder="1" applyAlignment="1">
      <alignment vertical="center"/>
    </xf>
    <xf numFmtId="189" fontId="1" fillId="0" borderId="10" xfId="0" applyNumberFormat="1" applyFont="1" applyFill="1" applyBorder="1" applyAlignment="1">
      <alignment horizontal="right" vertical="center"/>
    </xf>
    <xf numFmtId="189" fontId="2" fillId="0" borderId="10" xfId="0" applyNumberFormat="1" applyFont="1" applyFill="1" applyBorder="1" applyAlignment="1">
      <alignment horizontal="center" vertical="center"/>
    </xf>
    <xf numFmtId="189" fontId="1" fillId="0" borderId="10" xfId="0" applyNumberFormat="1" applyFont="1" applyFill="1" applyBorder="1" applyAlignment="1">
      <alignment horizontal="right"/>
    </xf>
    <xf numFmtId="189" fontId="2" fillId="0" borderId="10" xfId="0" applyNumberFormat="1" applyFont="1" applyFill="1" applyBorder="1" applyAlignment="1">
      <alignment horizontal="right" vertical="center"/>
    </xf>
    <xf numFmtId="189" fontId="2"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top" wrapText="1"/>
    </xf>
    <xf numFmtId="0" fontId="8" fillId="0" borderId="10" xfId="0" applyFont="1" applyFill="1" applyBorder="1" applyAlignment="1">
      <alignment horizontal="right" vertical="center" wrapText="1"/>
    </xf>
    <xf numFmtId="49" fontId="1" fillId="0" borderId="13" xfId="0" applyNumberFormat="1" applyFont="1" applyFill="1" applyBorder="1" applyAlignment="1">
      <alignment horizontal="center" vertical="center"/>
    </xf>
    <xf numFmtId="180" fontId="1" fillId="0" borderId="10" xfId="0" applyNumberFormat="1" applyFont="1" applyFill="1" applyBorder="1" applyAlignment="1">
      <alignment horizontal="left" vertical="top" wrapText="1"/>
    </xf>
    <xf numFmtId="0" fontId="1" fillId="0" borderId="10" xfId="0" applyFont="1" applyFill="1" applyBorder="1" applyAlignment="1">
      <alignment wrapText="1"/>
    </xf>
    <xf numFmtId="189" fontId="1" fillId="0" borderId="10" xfId="0" applyNumberFormat="1" applyFont="1" applyFill="1" applyBorder="1" applyAlignment="1">
      <alignment horizontal="right" wrapText="1"/>
    </xf>
    <xf numFmtId="0" fontId="1" fillId="0" borderId="10" xfId="0" applyFont="1" applyFill="1" applyBorder="1" applyAlignment="1">
      <alignment/>
    </xf>
    <xf numFmtId="180" fontId="1" fillId="0" borderId="12" xfId="0" applyNumberFormat="1" applyFont="1" applyFill="1" applyBorder="1" applyAlignment="1">
      <alignment horizontal="left" wrapText="1"/>
    </xf>
    <xf numFmtId="180" fontId="1" fillId="0" borderId="10" xfId="0" applyNumberFormat="1" applyFont="1" applyFill="1" applyBorder="1" applyAlignment="1">
      <alignment wrapText="1"/>
    </xf>
    <xf numFmtId="49" fontId="2" fillId="0" borderId="10" xfId="0" applyNumberFormat="1" applyFont="1" applyFill="1" applyBorder="1" applyAlignment="1">
      <alignment/>
    </xf>
    <xf numFmtId="49" fontId="8" fillId="0" borderId="10" xfId="0" applyNumberFormat="1" applyFont="1" applyFill="1" applyBorder="1" applyAlignment="1">
      <alignment horizontal="right" vertical="center"/>
    </xf>
    <xf numFmtId="49" fontId="1" fillId="0" borderId="10" xfId="60" applyNumberFormat="1" applyFont="1" applyFill="1" applyBorder="1" applyAlignment="1">
      <alignment horizontal="center" vertical="center" wrapText="1"/>
      <protection/>
    </xf>
    <xf numFmtId="189" fontId="2" fillId="0" borderId="10" xfId="0" applyNumberFormat="1" applyFont="1" applyFill="1" applyBorder="1" applyAlignment="1">
      <alignment horizontal="center"/>
    </xf>
    <xf numFmtId="0" fontId="10" fillId="0" borderId="10" xfId="0" applyFont="1" applyFill="1" applyBorder="1" applyAlignment="1">
      <alignment horizontal="center" vertical="center"/>
    </xf>
    <xf numFmtId="181" fontId="2" fillId="0" borderId="10" xfId="0" applyNumberFormat="1" applyFont="1" applyFill="1" applyBorder="1" applyAlignment="1">
      <alignment/>
    </xf>
    <xf numFmtId="181" fontId="1" fillId="0" borderId="10" xfId="0" applyNumberFormat="1" applyFont="1" applyFill="1" applyBorder="1" applyAlignment="1">
      <alignment/>
    </xf>
    <xf numFmtId="181" fontId="1" fillId="0" borderId="15" xfId="0" applyNumberFormat="1" applyFont="1" applyFill="1" applyBorder="1" applyAlignment="1">
      <alignment/>
    </xf>
    <xf numFmtId="181" fontId="1" fillId="0" borderId="16" xfId="0" applyNumberFormat="1" applyFont="1" applyFill="1" applyBorder="1" applyAlignment="1">
      <alignment/>
    </xf>
    <xf numFmtId="181" fontId="1" fillId="0" borderId="13" xfId="0" applyNumberFormat="1" applyFont="1" applyFill="1" applyBorder="1" applyAlignment="1">
      <alignment/>
    </xf>
    <xf numFmtId="181" fontId="1" fillId="0" borderId="13" xfId="0" applyNumberFormat="1" applyFont="1" applyFill="1" applyBorder="1" applyAlignment="1">
      <alignment/>
    </xf>
    <xf numFmtId="180" fontId="54" fillId="0" borderId="0" xfId="42" applyNumberFormat="1" applyFont="1" applyFill="1">
      <alignment/>
      <protection/>
    </xf>
    <xf numFmtId="180" fontId="1" fillId="0" borderId="10" xfId="0" applyNumberFormat="1" applyFont="1" applyFill="1" applyBorder="1" applyAlignment="1">
      <alignment horizontal="right" vertical="center" wrapText="1"/>
    </xf>
    <xf numFmtId="180" fontId="2" fillId="0" borderId="10" xfId="0" applyNumberFormat="1" applyFont="1" applyFill="1" applyBorder="1" applyAlignment="1">
      <alignment horizontal="right" vertical="center" wrapText="1"/>
    </xf>
    <xf numFmtId="180" fontId="2" fillId="0" borderId="10" xfId="0" applyNumberFormat="1" applyFont="1" applyFill="1" applyBorder="1" applyAlignment="1">
      <alignment horizontal="center" vertical="center" wrapText="1"/>
    </xf>
    <xf numFmtId="180" fontId="1" fillId="0" borderId="17" xfId="0" applyNumberFormat="1" applyFont="1" applyFill="1" applyBorder="1" applyAlignment="1">
      <alignment horizontal="center" vertical="center" wrapText="1"/>
    </xf>
    <xf numFmtId="49" fontId="1" fillId="0" borderId="10" xfId="0" applyNumberFormat="1" applyFont="1" applyFill="1" applyBorder="1" applyAlignment="1">
      <alignment horizontal="right" vertical="center"/>
    </xf>
    <xf numFmtId="0" fontId="55" fillId="0" borderId="10" xfId="42" applyFont="1" applyFill="1" applyBorder="1" applyAlignment="1">
      <alignment vertical="center" wrapText="1"/>
      <protection/>
    </xf>
    <xf numFmtId="180" fontId="8" fillId="0" borderId="0" xfId="0" applyNumberFormat="1" applyFont="1" applyFill="1" applyAlignment="1">
      <alignment horizontal="right"/>
    </xf>
    <xf numFmtId="180" fontId="54" fillId="0" borderId="0" xfId="0" applyNumberFormat="1" applyFont="1" applyFill="1" applyAlignment="1">
      <alignment/>
    </xf>
    <xf numFmtId="187" fontId="1" fillId="0" borderId="0" xfId="0" applyNumberFormat="1" applyFont="1" applyFill="1" applyAlignment="1">
      <alignment horizontal="right"/>
    </xf>
    <xf numFmtId="181" fontId="1" fillId="0" borderId="0" xfId="0" applyNumberFormat="1" applyFont="1" applyFill="1" applyAlignment="1">
      <alignment/>
    </xf>
    <xf numFmtId="181" fontId="2" fillId="0" borderId="13" xfId="0" applyNumberFormat="1" applyFont="1" applyFill="1" applyBorder="1" applyAlignment="1">
      <alignment/>
    </xf>
    <xf numFmtId="0" fontId="1" fillId="0" borderId="10" xfId="0" applyFont="1" applyFill="1" applyBorder="1" applyAlignment="1">
      <alignment horizontal="justify" vertical="top" wrapText="1"/>
    </xf>
    <xf numFmtId="181" fontId="2"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wrapText="1"/>
    </xf>
    <xf numFmtId="189" fontId="6" fillId="0" borderId="10" xfId="0" applyNumberFormat="1" applyFont="1" applyFill="1" applyBorder="1" applyAlignment="1">
      <alignment horizontal="center" vertical="center" wrapText="1"/>
    </xf>
    <xf numFmtId="195"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1" fillId="0" borderId="10" xfId="42" applyFont="1" applyFill="1" applyBorder="1" applyAlignment="1">
      <alignment horizontal="justify" vertical="center" wrapText="1"/>
      <protection/>
    </xf>
    <xf numFmtId="49" fontId="1" fillId="0" borderId="13" xfId="0" applyNumberFormat="1" applyFont="1" applyFill="1" applyBorder="1" applyAlignment="1">
      <alignment horizontal="center"/>
    </xf>
    <xf numFmtId="180" fontId="2" fillId="0" borderId="0" xfId="0" applyNumberFormat="1" applyFont="1" applyFill="1" applyBorder="1" applyAlignment="1">
      <alignment horizontal="left" vertical="center" wrapText="1"/>
    </xf>
    <xf numFmtId="2" fontId="1" fillId="0" borderId="0" xfId="0" applyNumberFormat="1" applyFont="1" applyFill="1" applyAlignment="1">
      <alignment/>
    </xf>
    <xf numFmtId="3" fontId="1" fillId="0" borderId="0" xfId="0" applyNumberFormat="1" applyFont="1" applyFill="1" applyBorder="1" applyAlignment="1">
      <alignment/>
    </xf>
    <xf numFmtId="180" fontId="2" fillId="0" borderId="0" xfId="0" applyNumberFormat="1" applyFont="1" applyFill="1" applyBorder="1" applyAlignment="1">
      <alignment horizontal="right" vertical="center" wrapText="1"/>
    </xf>
    <xf numFmtId="180" fontId="1" fillId="0" borderId="12" xfId="0" applyNumberFormat="1" applyFont="1" applyFill="1" applyBorder="1" applyAlignment="1">
      <alignment/>
    </xf>
    <xf numFmtId="49" fontId="1" fillId="0" borderId="12" xfId="0" applyNumberFormat="1" applyFont="1" applyFill="1" applyBorder="1" applyAlignment="1">
      <alignment horizontal="left" vertical="center" wrapText="1"/>
    </xf>
    <xf numFmtId="49" fontId="1" fillId="0" borderId="13" xfId="62" applyNumberFormat="1" applyFont="1" applyFill="1" applyBorder="1" applyAlignment="1">
      <alignment horizontal="center" vertical="center" wrapText="1"/>
      <protection/>
    </xf>
    <xf numFmtId="0" fontId="55" fillId="0" borderId="10" xfId="42" applyFont="1" applyFill="1" applyBorder="1" applyAlignment="1">
      <alignment vertical="center"/>
      <protection/>
    </xf>
    <xf numFmtId="0" fontId="56" fillId="0" borderId="10" xfId="42" applyFont="1" applyFill="1" applyBorder="1" applyAlignment="1">
      <alignment vertical="center"/>
      <protection/>
    </xf>
    <xf numFmtId="0" fontId="56" fillId="0" borderId="10" xfId="42" applyFont="1" applyFill="1" applyBorder="1" applyAlignment="1">
      <alignment vertical="center" wrapText="1"/>
      <protection/>
    </xf>
    <xf numFmtId="180" fontId="2" fillId="0" borderId="14" xfId="0" applyNumberFormat="1" applyFont="1" applyFill="1" applyBorder="1" applyAlignment="1">
      <alignment horizontal="center" vertical="center"/>
    </xf>
    <xf numFmtId="0" fontId="1" fillId="0" borderId="10" xfId="42" applyFont="1" applyFill="1" applyBorder="1" applyAlignment="1">
      <alignment horizontal="left"/>
      <protection/>
    </xf>
    <xf numFmtId="180" fontId="1" fillId="0" borderId="0" xfId="0" applyNumberFormat="1" applyFont="1" applyFill="1" applyAlignment="1">
      <alignment vertical="center"/>
    </xf>
    <xf numFmtId="189" fontId="1" fillId="0" borderId="0" xfId="0" applyNumberFormat="1" applyFont="1" applyFill="1" applyAlignment="1">
      <alignment/>
    </xf>
    <xf numFmtId="181" fontId="1" fillId="0" borderId="10" xfId="0" applyNumberFormat="1" applyFont="1" applyFill="1" applyBorder="1" applyAlignment="1">
      <alignment horizontal="right" vertical="center"/>
    </xf>
    <xf numFmtId="49" fontId="1" fillId="0" borderId="14" xfId="0" applyNumberFormat="1" applyFont="1" applyFill="1" applyBorder="1" applyAlignment="1">
      <alignment vertical="center" wrapText="1"/>
    </xf>
    <xf numFmtId="0" fontId="1" fillId="0" borderId="12" xfId="0" applyFont="1" applyFill="1" applyBorder="1" applyAlignment="1">
      <alignment horizontal="left" vertical="center" wrapText="1"/>
    </xf>
    <xf numFmtId="181" fontId="2" fillId="0" borderId="10" xfId="0" applyNumberFormat="1" applyFont="1" applyFill="1" applyBorder="1" applyAlignment="1">
      <alignment horizontal="center" vertical="center" wrapText="1"/>
    </xf>
    <xf numFmtId="181" fontId="1" fillId="0" borderId="10" xfId="0" applyNumberFormat="1" applyFont="1" applyFill="1" applyBorder="1" applyAlignment="1">
      <alignment horizontal="right"/>
    </xf>
    <xf numFmtId="181" fontId="6" fillId="0" borderId="10" xfId="0" applyNumberFormat="1" applyFont="1" applyFill="1" applyBorder="1" applyAlignment="1">
      <alignment horizontal="right"/>
    </xf>
    <xf numFmtId="181" fontId="2" fillId="0" borderId="10" xfId="0" applyNumberFormat="1" applyFont="1" applyFill="1" applyBorder="1" applyAlignment="1">
      <alignment horizontal="right"/>
    </xf>
    <xf numFmtId="181" fontId="2" fillId="0" borderId="10" xfId="0" applyNumberFormat="1" applyFont="1" applyFill="1" applyBorder="1" applyAlignment="1">
      <alignment horizontal="right" vertical="center"/>
    </xf>
    <xf numFmtId="189" fontId="1" fillId="0" borderId="10" xfId="62" applyNumberFormat="1" applyFont="1" applyFill="1" applyBorder="1" applyAlignment="1">
      <alignment horizontal="right" vertical="center"/>
      <protection/>
    </xf>
    <xf numFmtId="189" fontId="2" fillId="0" borderId="10" xfId="62" applyNumberFormat="1" applyFont="1" applyFill="1" applyBorder="1" applyAlignment="1">
      <alignment horizontal="center" vertical="center"/>
      <protection/>
    </xf>
    <xf numFmtId="0" fontId="13" fillId="0" borderId="0" xfId="0" applyFont="1" applyFill="1" applyAlignment="1">
      <alignment wrapText="1"/>
    </xf>
    <xf numFmtId="49" fontId="1" fillId="0" borderId="12" xfId="0" applyNumberFormat="1" applyFont="1" applyFill="1" applyBorder="1" applyAlignment="1">
      <alignment vertical="center" wrapText="1"/>
    </xf>
    <xf numFmtId="49" fontId="1" fillId="0" borderId="10" xfId="0" applyNumberFormat="1" applyFont="1" applyFill="1" applyBorder="1" applyAlignment="1">
      <alignment horizontal="center"/>
    </xf>
    <xf numFmtId="181" fontId="2" fillId="0" borderId="10" xfId="0" applyNumberFormat="1" applyFont="1" applyFill="1" applyBorder="1" applyAlignment="1">
      <alignment horizontal="center"/>
    </xf>
    <xf numFmtId="181" fontId="1" fillId="0" borderId="0" xfId="0" applyNumberFormat="1" applyFont="1" applyFill="1" applyAlignment="1">
      <alignment horizontal="right"/>
    </xf>
    <xf numFmtId="189" fontId="1" fillId="0" borderId="0" xfId="0" applyNumberFormat="1" applyFont="1" applyFill="1" applyAlignment="1">
      <alignment horizontal="right"/>
    </xf>
    <xf numFmtId="0" fontId="1" fillId="0" borderId="0" xfId="0" applyFont="1" applyFill="1" applyAlignment="1">
      <alignment/>
    </xf>
    <xf numFmtId="0" fontId="1" fillId="0" borderId="0" xfId="0" applyFont="1" applyFill="1" applyAlignment="1">
      <alignment/>
    </xf>
    <xf numFmtId="1" fontId="1" fillId="0" borderId="0" xfId="0" applyNumberFormat="1" applyFont="1" applyFill="1" applyAlignment="1">
      <alignment/>
    </xf>
    <xf numFmtId="0" fontId="3" fillId="0" borderId="0" xfId="0" applyFont="1" applyFill="1" applyAlignment="1">
      <alignment/>
    </xf>
    <xf numFmtId="0" fontId="1" fillId="0" borderId="0" xfId="0" applyFont="1" applyFill="1" applyAlignment="1">
      <alignment horizontal="right"/>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0" xfId="0" applyFont="1" applyFill="1" applyBorder="1" applyAlignment="1">
      <alignment horizontal="right" vertical="center" wrapText="1"/>
    </xf>
    <xf numFmtId="180" fontId="1" fillId="0" borderId="11" xfId="0" applyNumberFormat="1" applyFont="1" applyFill="1" applyBorder="1" applyAlignment="1">
      <alignment vertical="center"/>
    </xf>
    <xf numFmtId="181" fontId="1" fillId="0" borderId="10" xfId="0" applyNumberFormat="1" applyFont="1" applyFill="1" applyBorder="1" applyAlignment="1">
      <alignment vertical="center"/>
    </xf>
    <xf numFmtId="181" fontId="1" fillId="0" borderId="10" xfId="0" applyNumberFormat="1" applyFont="1" applyFill="1" applyBorder="1" applyAlignment="1">
      <alignment horizontal="right" vertical="center" wrapText="1"/>
    </xf>
    <xf numFmtId="180" fontId="1" fillId="0" borderId="0" xfId="0" applyNumberFormat="1" applyFont="1" applyFill="1" applyAlignment="1">
      <alignment/>
    </xf>
    <xf numFmtId="180" fontId="2" fillId="0" borderId="0" xfId="0" applyNumberFormat="1" applyFont="1" applyFill="1" applyBorder="1" applyAlignment="1">
      <alignment/>
    </xf>
    <xf numFmtId="180" fontId="1" fillId="0" borderId="12" xfId="0" applyNumberFormat="1" applyFont="1" applyFill="1" applyBorder="1" applyAlignment="1">
      <alignment vertical="center" wrapText="1"/>
    </xf>
    <xf numFmtId="0" fontId="1" fillId="0" borderId="0" xfId="0" applyFont="1" applyFill="1" applyBorder="1" applyAlignment="1">
      <alignment/>
    </xf>
    <xf numFmtId="0" fontId="14" fillId="0" borderId="0" xfId="0" applyFont="1" applyFill="1" applyBorder="1" applyAlignment="1">
      <alignment/>
    </xf>
    <xf numFmtId="0" fontId="14" fillId="0" borderId="0" xfId="0" applyFont="1" applyFill="1" applyAlignment="1">
      <alignment/>
    </xf>
    <xf numFmtId="180" fontId="1" fillId="0" borderId="12" xfId="0" applyNumberFormat="1" applyFont="1" applyFill="1" applyBorder="1" applyAlignment="1">
      <alignment vertical="center"/>
    </xf>
    <xf numFmtId="180" fontId="1" fillId="0" borderId="12" xfId="0" applyNumberFormat="1" applyFont="1" applyFill="1" applyBorder="1" applyAlignment="1">
      <alignment horizontal="left" vertical="center" wrapText="1"/>
    </xf>
    <xf numFmtId="180" fontId="1" fillId="0" borderId="12" xfId="0" applyNumberFormat="1" applyFont="1" applyFill="1" applyBorder="1" applyAlignment="1">
      <alignment horizontal="left" vertical="center"/>
    </xf>
    <xf numFmtId="180" fontId="1" fillId="0" borderId="0" xfId="0" applyNumberFormat="1" applyFont="1" applyFill="1" applyAlignment="1">
      <alignment horizontal="right"/>
    </xf>
    <xf numFmtId="0" fontId="1" fillId="0" borderId="0" xfId="0" applyFont="1" applyFill="1" applyAlignment="1">
      <alignment horizontal="center"/>
    </xf>
    <xf numFmtId="180" fontId="1" fillId="0" borderId="10" xfId="0" applyNumberFormat="1" applyFont="1" applyFill="1" applyBorder="1" applyAlignment="1">
      <alignment vertical="center"/>
    </xf>
    <xf numFmtId="180" fontId="1" fillId="0" borderId="10" xfId="0" applyNumberFormat="1" applyFont="1" applyFill="1" applyBorder="1" applyAlignment="1">
      <alignment vertical="center" wrapText="1"/>
    </xf>
    <xf numFmtId="181" fontId="2" fillId="0" borderId="15" xfId="0" applyNumberFormat="1" applyFont="1" applyFill="1" applyBorder="1" applyAlignment="1">
      <alignment/>
    </xf>
    <xf numFmtId="0" fontId="2" fillId="0" borderId="10" xfId="42" applyFont="1" applyFill="1" applyBorder="1" applyAlignment="1">
      <alignment horizontal="right" vertical="center"/>
      <protection/>
    </xf>
    <xf numFmtId="0" fontId="2" fillId="0" borderId="10" xfId="42" applyFont="1" applyFill="1" applyBorder="1" applyAlignment="1">
      <alignment horizontal="right"/>
      <protection/>
    </xf>
    <xf numFmtId="181" fontId="2" fillId="0" borderId="10" xfId="42" applyNumberFormat="1" applyFont="1" applyFill="1" applyBorder="1">
      <alignment/>
      <protection/>
    </xf>
    <xf numFmtId="49" fontId="2" fillId="0" borderId="11" xfId="0" applyNumberFormat="1" applyFont="1" applyFill="1" applyBorder="1" applyAlignment="1">
      <alignment horizontal="right" vertical="center"/>
    </xf>
    <xf numFmtId="181" fontId="2" fillId="0" borderId="10" xfId="0" applyNumberFormat="1" applyFont="1" applyFill="1" applyBorder="1" applyAlignment="1">
      <alignment horizontal="center" vertical="center"/>
    </xf>
    <xf numFmtId="0" fontId="2" fillId="0" borderId="10" xfId="0" applyFont="1" applyFill="1" applyBorder="1" applyAlignment="1">
      <alignment horizontal="right" vertical="center"/>
    </xf>
    <xf numFmtId="49" fontId="2" fillId="0" borderId="10" xfId="0" applyNumberFormat="1" applyFont="1" applyFill="1" applyBorder="1" applyAlignment="1">
      <alignment horizontal="right" vertical="center"/>
    </xf>
    <xf numFmtId="49" fontId="2" fillId="0" borderId="10" xfId="0" applyNumberFormat="1" applyFont="1" applyFill="1" applyBorder="1" applyAlignment="1">
      <alignment horizontal="right" vertical="center" wrapText="1"/>
    </xf>
    <xf numFmtId="180" fontId="6" fillId="0" borderId="10" xfId="0" applyNumberFormat="1" applyFont="1" applyFill="1" applyBorder="1" applyAlignment="1">
      <alignment vertical="center" wrapText="1"/>
    </xf>
    <xf numFmtId="180" fontId="1" fillId="0" borderId="0" xfId="0" applyNumberFormat="1" applyFont="1" applyFill="1" applyBorder="1" applyAlignment="1">
      <alignment horizontal="right" vertical="center" wrapText="1"/>
    </xf>
    <xf numFmtId="180" fontId="0" fillId="0" borderId="0" xfId="0" applyNumberFormat="1" applyFill="1" applyAlignment="1">
      <alignment horizontal="right" vertical="top"/>
    </xf>
    <xf numFmtId="180" fontId="1" fillId="0" borderId="11" xfId="0" applyNumberFormat="1" applyFont="1" applyFill="1" applyBorder="1" applyAlignment="1">
      <alignment vertical="center" wrapText="1"/>
    </xf>
    <xf numFmtId="180" fontId="1" fillId="0" borderId="12" xfId="62" applyNumberFormat="1" applyFont="1" applyFill="1" applyBorder="1" applyAlignment="1">
      <alignment vertical="center"/>
      <protection/>
    </xf>
    <xf numFmtId="195" fontId="1" fillId="0" borderId="10" xfId="0" applyNumberFormat="1" applyFont="1" applyFill="1" applyBorder="1" applyAlignment="1">
      <alignment vertical="center"/>
    </xf>
    <xf numFmtId="195" fontId="1" fillId="0" borderId="0" xfId="0" applyNumberFormat="1" applyFont="1" applyFill="1" applyAlignment="1">
      <alignment/>
    </xf>
    <xf numFmtId="195" fontId="54" fillId="0" borderId="10" xfId="0" applyNumberFormat="1" applyFont="1" applyFill="1" applyBorder="1" applyAlignment="1">
      <alignment horizontal="right" vertical="center"/>
    </xf>
    <xf numFmtId="49" fontId="1" fillId="0" borderId="13" xfId="0" applyNumberFormat="1" applyFont="1" applyFill="1" applyBorder="1" applyAlignment="1">
      <alignment horizontal="center" vertical="center" wrapText="1"/>
    </xf>
    <xf numFmtId="195" fontId="1" fillId="0" borderId="10" xfId="62" applyNumberFormat="1" applyFont="1" applyFill="1" applyBorder="1" applyAlignment="1">
      <alignment horizontal="right" vertical="center"/>
      <protection/>
    </xf>
    <xf numFmtId="180" fontId="6" fillId="0" borderId="10" xfId="0" applyNumberFormat="1" applyFont="1" applyFill="1" applyBorder="1" applyAlignment="1">
      <alignment vertical="center"/>
    </xf>
    <xf numFmtId="180" fontId="1" fillId="0" borderId="10" xfId="62" applyNumberFormat="1" applyFont="1" applyFill="1" applyBorder="1" applyAlignment="1">
      <alignment vertical="center" wrapText="1"/>
      <protection/>
    </xf>
    <xf numFmtId="180" fontId="1" fillId="0" borderId="10" xfId="62" applyNumberFormat="1" applyFont="1" applyFill="1" applyBorder="1" applyAlignment="1">
      <alignment horizontal="left" vertical="center" wrapText="1"/>
      <protection/>
    </xf>
    <xf numFmtId="17" fontId="8" fillId="0" borderId="10" xfId="0" applyNumberFormat="1" applyFont="1" applyFill="1" applyBorder="1" applyAlignment="1">
      <alignment horizontal="right" vertical="center"/>
    </xf>
    <xf numFmtId="49" fontId="2" fillId="0" borderId="13" xfId="0" applyNumberFormat="1" applyFont="1" applyFill="1" applyBorder="1" applyAlignment="1">
      <alignment horizontal="center" vertical="center"/>
    </xf>
    <xf numFmtId="49" fontId="1" fillId="0" borderId="10" xfId="62" applyNumberFormat="1" applyFont="1" applyFill="1" applyBorder="1" applyAlignment="1">
      <alignment horizontal="center" vertical="center" wrapText="1"/>
      <protection/>
    </xf>
    <xf numFmtId="49" fontId="1" fillId="0" borderId="10" xfId="62" applyNumberFormat="1" applyFont="1" applyFill="1" applyBorder="1" applyAlignment="1">
      <alignment horizontal="center" vertical="center"/>
      <protection/>
    </xf>
    <xf numFmtId="0" fontId="6" fillId="0" borderId="10" xfId="60" applyFont="1" applyFill="1" applyBorder="1" applyAlignment="1">
      <alignment vertical="center" wrapText="1"/>
      <protection/>
    </xf>
    <xf numFmtId="180" fontId="1" fillId="0" borderId="0" xfId="0" applyNumberFormat="1" applyFont="1" applyFill="1" applyAlignment="1">
      <alignment wrapText="1"/>
    </xf>
    <xf numFmtId="0" fontId="1" fillId="0" borderId="10" xfId="0" applyFont="1" applyFill="1" applyBorder="1" applyAlignment="1">
      <alignment vertical="top" wrapText="1"/>
    </xf>
    <xf numFmtId="180" fontId="6"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right" vertical="center" wrapText="1"/>
    </xf>
    <xf numFmtId="0" fontId="1" fillId="0" borderId="0" xfId="0" applyFont="1" applyFill="1" applyBorder="1" applyAlignment="1">
      <alignment horizontal="right" vertical="center"/>
    </xf>
    <xf numFmtId="181" fontId="1" fillId="0" borderId="0" xfId="0" applyNumberFormat="1" applyFont="1" applyFill="1" applyBorder="1" applyAlignment="1">
      <alignment/>
    </xf>
    <xf numFmtId="180" fontId="6" fillId="0" borderId="0" xfId="0" applyNumberFormat="1" applyFont="1" applyFill="1" applyBorder="1" applyAlignment="1">
      <alignment vertical="center" wrapText="1"/>
    </xf>
    <xf numFmtId="180" fontId="1" fillId="0" borderId="0" xfId="0" applyNumberFormat="1" applyFont="1" applyFill="1" applyBorder="1" applyAlignment="1">
      <alignment vertical="center" wrapText="1"/>
    </xf>
    <xf numFmtId="189" fontId="1" fillId="0" borderId="10" xfId="0" applyNumberFormat="1" applyFont="1" applyFill="1" applyBorder="1" applyAlignment="1">
      <alignment horizontal="center" vertical="center"/>
    </xf>
    <xf numFmtId="180" fontId="1" fillId="0" borderId="14" xfId="0" applyNumberFormat="1" applyFont="1" applyFill="1" applyBorder="1" applyAlignment="1">
      <alignment vertical="center" wrapText="1"/>
    </xf>
    <xf numFmtId="49" fontId="1" fillId="0" borderId="10" xfId="0" applyNumberFormat="1" applyFont="1" applyFill="1" applyBorder="1" applyAlignment="1">
      <alignment/>
    </xf>
    <xf numFmtId="49" fontId="6" fillId="0" borderId="10" xfId="0" applyNumberFormat="1" applyFont="1" applyFill="1" applyBorder="1" applyAlignment="1">
      <alignment/>
    </xf>
    <xf numFmtId="180" fontId="6" fillId="0" borderId="11" xfId="0" applyNumberFormat="1" applyFont="1" applyFill="1" applyBorder="1" applyAlignment="1">
      <alignment horizontal="left" vertical="center"/>
    </xf>
    <xf numFmtId="180" fontId="1" fillId="0" borderId="10" xfId="61" applyNumberFormat="1" applyFont="1" applyFill="1" applyBorder="1" applyAlignment="1">
      <alignment vertical="center" wrapText="1"/>
      <protection/>
    </xf>
    <xf numFmtId="49" fontId="6" fillId="0" borderId="10" xfId="0" applyNumberFormat="1" applyFont="1" applyFill="1" applyBorder="1" applyAlignment="1">
      <alignment wrapText="1"/>
    </xf>
    <xf numFmtId="0" fontId="1" fillId="0" borderId="14" xfId="0" applyFont="1" applyFill="1" applyBorder="1" applyAlignment="1">
      <alignment horizontal="left" vertical="center" wrapText="1"/>
    </xf>
    <xf numFmtId="189" fontId="1" fillId="0" borderId="10" xfId="0" applyNumberFormat="1" applyFont="1" applyFill="1" applyBorder="1" applyAlignment="1">
      <alignment horizontal="right" vertical="center" wrapText="1"/>
    </xf>
    <xf numFmtId="189" fontId="2" fillId="0" borderId="10" xfId="0" applyNumberFormat="1" applyFont="1" applyFill="1" applyBorder="1" applyAlignment="1">
      <alignment horizontal="right" vertical="center" wrapText="1"/>
    </xf>
    <xf numFmtId="189" fontId="1"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right"/>
    </xf>
    <xf numFmtId="189" fontId="10" fillId="0" borderId="10" xfId="0" applyNumberFormat="1" applyFont="1" applyFill="1" applyBorder="1" applyAlignment="1">
      <alignment horizontal="center" vertical="center"/>
    </xf>
    <xf numFmtId="189" fontId="10" fillId="0" borderId="10" xfId="0" applyNumberFormat="1" applyFont="1" applyFill="1" applyBorder="1" applyAlignment="1">
      <alignment vertical="center"/>
    </xf>
    <xf numFmtId="189" fontId="1" fillId="0" borderId="10" xfId="0" applyNumberFormat="1" applyFont="1" applyFill="1" applyBorder="1" applyAlignment="1">
      <alignment/>
    </xf>
    <xf numFmtId="0" fontId="3" fillId="0" borderId="0" xfId="42" applyFont="1" applyFill="1" applyAlignment="1">
      <alignment/>
      <protection/>
    </xf>
    <xf numFmtId="0" fontId="3" fillId="0" borderId="0" xfId="42" applyFont="1" applyFill="1" applyAlignment="1">
      <alignment horizontal="left"/>
      <protection/>
    </xf>
    <xf numFmtId="0" fontId="3" fillId="0" borderId="0" xfId="42" applyFont="1" applyFill="1" applyAlignment="1">
      <alignment horizontal="right"/>
      <protection/>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xf>
    <xf numFmtId="0" fontId="1"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right"/>
    </xf>
    <xf numFmtId="0" fontId="2"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right"/>
    </xf>
    <xf numFmtId="49" fontId="2" fillId="0" borderId="0" xfId="0" applyNumberFormat="1" applyFont="1" applyFill="1" applyAlignment="1">
      <alignment horizontal="center" vertical="center" wrapText="1"/>
    </xf>
    <xf numFmtId="0" fontId="1" fillId="0" borderId="0" xfId="0" applyFont="1" applyFill="1" applyBorder="1" applyAlignment="1">
      <alignment horizontal="right"/>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xf>
    <xf numFmtId="0" fontId="1" fillId="0" borderId="10" xfId="0" applyFont="1" applyFill="1" applyBorder="1" applyAlignment="1">
      <alignment horizontal="right" vertical="center"/>
    </xf>
    <xf numFmtId="49" fontId="1" fillId="0" borderId="10"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0" xfId="62" applyNumberFormat="1" applyFont="1" applyFill="1" applyBorder="1" applyAlignment="1">
      <alignment horizontal="center" vertical="center" wrapText="1"/>
      <protection/>
    </xf>
    <xf numFmtId="0" fontId="2" fillId="0" borderId="0" xfId="0" applyFont="1" applyFill="1" applyAlignment="1">
      <alignment horizont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wrapText="1"/>
    </xf>
    <xf numFmtId="49" fontId="2" fillId="0" borderId="0" xfId="0" applyNumberFormat="1" applyFont="1" applyFill="1" applyAlignment="1">
      <alignment horizontal="center" wrapText="1"/>
    </xf>
    <xf numFmtId="49" fontId="2"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left"/>
    </xf>
    <xf numFmtId="0" fontId="3" fillId="0" borderId="0" xfId="0" applyFont="1" applyFill="1" applyAlignment="1">
      <alignment/>
    </xf>
    <xf numFmtId="180" fontId="2" fillId="0" borderId="0" xfId="0" applyNumberFormat="1" applyFont="1" applyFill="1" applyBorder="1" applyAlignment="1">
      <alignment horizontal="left" vertical="center" wrapText="1"/>
    </xf>
    <xf numFmtId="0" fontId="2" fillId="0" borderId="0" xfId="0" applyFont="1" applyFill="1" applyAlignment="1">
      <alignment horizontal="center" vertical="top" wrapText="1"/>
    </xf>
    <xf numFmtId="180" fontId="2" fillId="0" borderId="10" xfId="0" applyNumberFormat="1" applyFont="1" applyFill="1" applyBorder="1" applyAlignment="1">
      <alignment horizontal="left" vertical="center" wrapText="1"/>
    </xf>
    <xf numFmtId="180"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xf>
    <xf numFmtId="49" fontId="2" fillId="0" borderId="10" xfId="0" applyNumberFormat="1" applyFont="1" applyFill="1" applyBorder="1" applyAlignment="1">
      <alignment horizontal="center" vertical="center"/>
    </xf>
    <xf numFmtId="49" fontId="1" fillId="0" borderId="10" xfId="62" applyNumberFormat="1" applyFont="1" applyFill="1" applyBorder="1" applyAlignment="1">
      <alignment horizontal="center" vertical="center"/>
      <protection/>
    </xf>
    <xf numFmtId="49" fontId="1" fillId="0" borderId="10" xfId="0" applyNumberFormat="1" applyFont="1" applyFill="1" applyBorder="1" applyAlignment="1">
      <alignment horizontal="right" vertical="center"/>
    </xf>
    <xf numFmtId="0" fontId="8" fillId="0" borderId="10" xfId="0" applyFont="1" applyFill="1" applyBorder="1" applyAlignment="1">
      <alignment horizontal="right" vertical="center"/>
    </xf>
    <xf numFmtId="0" fontId="8" fillId="0" borderId="10" xfId="0" applyFont="1" applyFill="1" applyBorder="1" applyAlignment="1">
      <alignment horizontal="center" vertical="center"/>
    </xf>
  </cellXfs>
  <cellStyles count="65">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prastas 3" xfId="43"/>
    <cellStyle name="Įprastas 4" xfId="44"/>
    <cellStyle name="Įprastas 5" xfId="45"/>
    <cellStyle name="Įspėjimo tekstas" xfId="46"/>
    <cellStyle name="Išvestis" xfId="47"/>
    <cellStyle name="Įvestis" xfId="48"/>
    <cellStyle name="Comma" xfId="49"/>
    <cellStyle name="Comma [0]" xfId="50"/>
    <cellStyle name="Kablelis 2" xfId="51"/>
    <cellStyle name="Kablelis 2 2" xfId="52"/>
    <cellStyle name="Kablelis 3" xfId="53"/>
    <cellStyle name="Kablelis 4" xfId="54"/>
    <cellStyle name="Kablelis 5" xfId="55"/>
    <cellStyle name="Neutralus" xfId="56"/>
    <cellStyle name="Normal 2" xfId="57"/>
    <cellStyle name="Normal 3" xfId="58"/>
    <cellStyle name="Normal_biudžetas 6" xfId="59"/>
    <cellStyle name="Normal_biudžetas 6_2009 m 02 men biudzetas." xfId="60"/>
    <cellStyle name="Normal_Sheet1" xfId="61"/>
    <cellStyle name="Normal_Sheet1_2009 m 02 men biudzetas." xfId="62"/>
    <cellStyle name="Paprastas 2" xfId="63"/>
    <cellStyle name="Paryškinimas 1" xfId="64"/>
    <cellStyle name="Paryškinimas 2" xfId="65"/>
    <cellStyle name="Paryškinimas 3" xfId="66"/>
    <cellStyle name="Paryškinimas 4" xfId="67"/>
    <cellStyle name="Paryškinimas 5" xfId="68"/>
    <cellStyle name="Paryškinimas 6" xfId="69"/>
    <cellStyle name="Pastaba" xfId="70"/>
    <cellStyle name="Pavadinimas" xfId="71"/>
    <cellStyle name="Percent" xfId="72"/>
    <cellStyle name="Skaičiavimas" xfId="73"/>
    <cellStyle name="Suma" xfId="74"/>
    <cellStyle name="Susietas langelis" xfId="75"/>
    <cellStyle name="Tikrinimo langelis" xfId="76"/>
    <cellStyle name="Currency" xfId="77"/>
    <cellStyle name="Currency [0]"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3"/>
  <sheetViews>
    <sheetView tabSelected="1" zoomScalePageLayoutView="0" workbookViewId="0" topLeftCell="A1">
      <selection activeCell="C25" sqref="C25"/>
    </sheetView>
  </sheetViews>
  <sheetFormatPr defaultColWidth="9.140625" defaultRowHeight="12.75"/>
  <cols>
    <col min="1" max="1" width="6.28125" style="73" customWidth="1"/>
    <col min="2" max="2" width="62.00390625" style="2" customWidth="1"/>
    <col min="3" max="3" width="14.28125" style="2" customWidth="1"/>
    <col min="4" max="4" width="7.7109375" style="2" customWidth="1"/>
    <col min="5" max="5" width="11.00390625" style="2" customWidth="1"/>
    <col min="6" max="16384" width="9.140625" style="2" customWidth="1"/>
  </cols>
  <sheetData>
    <row r="1" spans="1:3" ht="15.75">
      <c r="A1" s="109"/>
      <c r="B1" s="284" t="s">
        <v>883</v>
      </c>
      <c r="C1" s="284"/>
    </row>
    <row r="2" spans="1:3" ht="15.75">
      <c r="A2" s="109"/>
      <c r="B2" s="285" t="s">
        <v>916</v>
      </c>
      <c r="C2" s="285"/>
    </row>
    <row r="3" spans="1:3" ht="15.75">
      <c r="A3" s="286" t="s">
        <v>872</v>
      </c>
      <c r="B3" s="286"/>
      <c r="C3" s="286"/>
    </row>
    <row r="4" spans="1:3" ht="15.75">
      <c r="A4" s="110"/>
      <c r="B4" s="86"/>
      <c r="C4" s="86"/>
    </row>
    <row r="5" spans="1:3" ht="12.75">
      <c r="A5" s="109"/>
      <c r="B5" s="88" t="s">
        <v>423</v>
      </c>
      <c r="C5" s="107"/>
    </row>
    <row r="6" spans="1:3" ht="12.75">
      <c r="A6" s="109"/>
      <c r="B6" s="95"/>
      <c r="C6" s="95"/>
    </row>
    <row r="7" spans="1:3" s="73" customFormat="1" ht="12.75">
      <c r="A7" s="98" t="s">
        <v>0</v>
      </c>
      <c r="B7" s="100" t="s">
        <v>36</v>
      </c>
      <c r="C7" s="100" t="s">
        <v>395</v>
      </c>
    </row>
    <row r="8" spans="1:8" ht="12" customHeight="1">
      <c r="A8" s="111">
        <v>1</v>
      </c>
      <c r="B8" s="98" t="s">
        <v>522</v>
      </c>
      <c r="C8" s="234">
        <f>+C9+C10+C14</f>
        <v>21937</v>
      </c>
      <c r="D8" s="1"/>
      <c r="E8" s="1"/>
      <c r="F8" s="83"/>
      <c r="G8" s="83"/>
      <c r="H8" s="83"/>
    </row>
    <row r="9" spans="1:7" ht="12" customHeight="1">
      <c r="A9" s="111">
        <v>2</v>
      </c>
      <c r="B9" s="98" t="s">
        <v>440</v>
      </c>
      <c r="C9" s="154">
        <v>19633</v>
      </c>
      <c r="D9" s="1"/>
      <c r="E9" s="1"/>
      <c r="F9" s="83"/>
      <c r="G9" s="83"/>
    </row>
    <row r="10" spans="1:4" ht="12" customHeight="1">
      <c r="A10" s="111">
        <v>3</v>
      </c>
      <c r="B10" s="98" t="s">
        <v>519</v>
      </c>
      <c r="C10" s="154">
        <f>+C11+C12+C13</f>
        <v>1349</v>
      </c>
      <c r="D10" s="1"/>
    </row>
    <row r="11" spans="1:4" ht="12" customHeight="1">
      <c r="A11" s="111">
        <v>4</v>
      </c>
      <c r="B11" s="96" t="s">
        <v>37</v>
      </c>
      <c r="C11" s="156">
        <v>471</v>
      </c>
      <c r="D11" s="1"/>
    </row>
    <row r="12" spans="1:4" ht="12" customHeight="1">
      <c r="A12" s="111">
        <v>5</v>
      </c>
      <c r="B12" s="96" t="s">
        <v>38</v>
      </c>
      <c r="C12" s="156">
        <v>869</v>
      </c>
      <c r="D12" s="1"/>
    </row>
    <row r="13" spans="1:7" ht="12" customHeight="1">
      <c r="A13" s="111">
        <v>6</v>
      </c>
      <c r="B13" s="96" t="s">
        <v>39</v>
      </c>
      <c r="C13" s="155">
        <v>9</v>
      </c>
      <c r="D13" s="1"/>
      <c r="G13" s="5"/>
    </row>
    <row r="14" spans="1:4" ht="12" customHeight="1">
      <c r="A14" s="111">
        <v>7</v>
      </c>
      <c r="B14" s="98" t="s">
        <v>523</v>
      </c>
      <c r="C14" s="154">
        <f>+C15+C16+C17</f>
        <v>955</v>
      </c>
      <c r="D14" s="1"/>
    </row>
    <row r="15" spans="1:5" ht="12" customHeight="1">
      <c r="A15" s="111">
        <v>8</v>
      </c>
      <c r="B15" s="96" t="s">
        <v>40</v>
      </c>
      <c r="C15" s="155">
        <f>185+5</f>
        <v>190</v>
      </c>
      <c r="D15" s="1"/>
      <c r="E15" s="170"/>
    </row>
    <row r="16" spans="1:4" ht="12" customHeight="1">
      <c r="A16" s="111">
        <v>9</v>
      </c>
      <c r="B16" s="96" t="s">
        <v>41</v>
      </c>
      <c r="C16" s="157">
        <v>730</v>
      </c>
      <c r="D16" s="1"/>
    </row>
    <row r="17" spans="1:4" ht="12" customHeight="1">
      <c r="A17" s="111">
        <v>10</v>
      </c>
      <c r="B17" s="96" t="s">
        <v>42</v>
      </c>
      <c r="C17" s="158">
        <v>35</v>
      </c>
      <c r="D17" s="1"/>
    </row>
    <row r="18" spans="1:4" ht="12" customHeight="1">
      <c r="A18" s="111">
        <v>11</v>
      </c>
      <c r="B18" s="98" t="s">
        <v>524</v>
      </c>
      <c r="C18" s="171">
        <f>C19+C24+C28+C29+C30</f>
        <v>1857.1999999999998</v>
      </c>
      <c r="D18" s="1"/>
    </row>
    <row r="19" spans="1:4" ht="12" customHeight="1">
      <c r="A19" s="111">
        <v>12</v>
      </c>
      <c r="B19" s="98" t="s">
        <v>525</v>
      </c>
      <c r="C19" s="171">
        <f>C20+C21+C22+C23</f>
        <v>365</v>
      </c>
      <c r="D19" s="1"/>
    </row>
    <row r="20" spans="1:4" ht="24.75" customHeight="1">
      <c r="A20" s="111">
        <v>13</v>
      </c>
      <c r="B20" s="90" t="s">
        <v>43</v>
      </c>
      <c r="C20" s="159">
        <v>290</v>
      </c>
      <c r="D20" s="1"/>
    </row>
    <row r="21" spans="1:4" ht="12" customHeight="1">
      <c r="A21" s="111">
        <v>14</v>
      </c>
      <c r="B21" s="96" t="s">
        <v>44</v>
      </c>
      <c r="C21" s="155">
        <v>25</v>
      </c>
      <c r="D21" s="1"/>
    </row>
    <row r="22" spans="1:4" ht="12" customHeight="1">
      <c r="A22" s="111">
        <v>15</v>
      </c>
      <c r="B22" s="178" t="s">
        <v>279</v>
      </c>
      <c r="C22" s="155">
        <v>20</v>
      </c>
      <c r="D22" s="1"/>
    </row>
    <row r="23" spans="1:4" ht="12" customHeight="1">
      <c r="A23" s="111">
        <v>16</v>
      </c>
      <c r="B23" s="172" t="s">
        <v>350</v>
      </c>
      <c r="C23" s="155">
        <f>30+68.2-68.2</f>
        <v>30</v>
      </c>
      <c r="D23" s="1"/>
    </row>
    <row r="24" spans="1:4" ht="12" customHeight="1">
      <c r="A24" s="111">
        <v>17</v>
      </c>
      <c r="B24" s="98" t="s">
        <v>526</v>
      </c>
      <c r="C24" s="154">
        <f>+C25+C26+C27</f>
        <v>1418.1999999999998</v>
      </c>
      <c r="D24" s="1"/>
    </row>
    <row r="25" spans="1:6" ht="12" customHeight="1">
      <c r="A25" s="111">
        <v>18</v>
      </c>
      <c r="B25" s="96" t="s">
        <v>45</v>
      </c>
      <c r="C25" s="155">
        <f>116.7+0.7+0.8+1.5+0.2-10.1</f>
        <v>109.80000000000001</v>
      </c>
      <c r="D25" s="1"/>
      <c r="E25" s="83"/>
      <c r="F25" s="83"/>
    </row>
    <row r="26" spans="1:6" ht="12" customHeight="1">
      <c r="A26" s="111">
        <v>19</v>
      </c>
      <c r="B26" s="96" t="s">
        <v>46</v>
      </c>
      <c r="C26" s="155">
        <f>186.7+8.6+21.5</f>
        <v>216.79999999999998</v>
      </c>
      <c r="D26" s="1"/>
      <c r="E26" s="83"/>
      <c r="F26" s="83"/>
    </row>
    <row r="27" spans="1:6" ht="12" customHeight="1">
      <c r="A27" s="111">
        <v>20</v>
      </c>
      <c r="B27" s="96" t="s">
        <v>47</v>
      </c>
      <c r="C27" s="155">
        <f>1056.1+2+1.7-7+38.8</f>
        <v>1091.6</v>
      </c>
      <c r="D27" s="1"/>
      <c r="E27" s="83"/>
      <c r="F27" s="83"/>
    </row>
    <row r="28" spans="1:6" ht="12" customHeight="1">
      <c r="A28" s="111">
        <v>21</v>
      </c>
      <c r="B28" s="98" t="s">
        <v>393</v>
      </c>
      <c r="C28" s="154">
        <v>10</v>
      </c>
      <c r="D28" s="1"/>
      <c r="E28" s="83"/>
      <c r="F28" s="83"/>
    </row>
    <row r="29" spans="1:5" ht="12" customHeight="1">
      <c r="A29" s="111">
        <v>22</v>
      </c>
      <c r="B29" s="98" t="s">
        <v>276</v>
      </c>
      <c r="C29" s="154">
        <v>14</v>
      </c>
      <c r="D29" s="1"/>
      <c r="E29" s="1"/>
    </row>
    <row r="30" spans="1:4" ht="12" customHeight="1">
      <c r="A30" s="111">
        <v>23</v>
      </c>
      <c r="B30" s="98" t="s">
        <v>48</v>
      </c>
      <c r="C30" s="154">
        <f>50</f>
        <v>50</v>
      </c>
      <c r="D30" s="1"/>
    </row>
    <row r="31" spans="1:4" ht="12" customHeight="1">
      <c r="A31" s="111">
        <v>24</v>
      </c>
      <c r="B31" s="98" t="s">
        <v>413</v>
      </c>
      <c r="C31" s="154">
        <f>18.7+(58.3+425+50+13.3+1190+42+110+226.8+402.1)-812.9</f>
        <v>1723.2999999999997</v>
      </c>
      <c r="D31" s="1"/>
    </row>
    <row r="32" spans="1:4" ht="12" customHeight="1">
      <c r="A32" s="111">
        <v>25</v>
      </c>
      <c r="B32" s="98" t="s">
        <v>527</v>
      </c>
      <c r="C32" s="154">
        <f>+C33+C57+C58+C62</f>
        <v>18393.9</v>
      </c>
      <c r="D32" s="1"/>
    </row>
    <row r="33" spans="1:6" ht="12" customHeight="1">
      <c r="A33" s="111">
        <v>26</v>
      </c>
      <c r="B33" s="96" t="s">
        <v>873</v>
      </c>
      <c r="C33" s="155">
        <f>SUM(C34:C56)</f>
        <v>2986.7000000000003</v>
      </c>
      <c r="D33" s="1"/>
      <c r="F33" s="83"/>
    </row>
    <row r="34" spans="1:7" ht="12" customHeight="1">
      <c r="A34" s="112" t="s">
        <v>626</v>
      </c>
      <c r="B34" s="96" t="s">
        <v>224</v>
      </c>
      <c r="C34" s="155">
        <v>8.6</v>
      </c>
      <c r="D34" s="1"/>
      <c r="G34" s="1"/>
    </row>
    <row r="35" spans="1:7" ht="12" customHeight="1">
      <c r="A35" s="111" t="s">
        <v>627</v>
      </c>
      <c r="B35" s="96" t="s">
        <v>225</v>
      </c>
      <c r="C35" s="155">
        <v>8.8</v>
      </c>
      <c r="D35" s="1"/>
      <c r="G35" s="1"/>
    </row>
    <row r="36" spans="1:7" ht="12" customHeight="1">
      <c r="A36" s="112" t="s">
        <v>628</v>
      </c>
      <c r="B36" s="96" t="s">
        <v>50</v>
      </c>
      <c r="C36" s="155">
        <v>271.8</v>
      </c>
      <c r="D36" s="1"/>
      <c r="E36" s="83"/>
      <c r="F36" s="170"/>
      <c r="G36" s="1"/>
    </row>
    <row r="37" spans="1:5" ht="12" customHeight="1">
      <c r="A37" s="111" t="s">
        <v>629</v>
      </c>
      <c r="B37" s="96" t="s">
        <v>51</v>
      </c>
      <c r="C37" s="155">
        <f>323.6-6.9-13.9</f>
        <v>302.80000000000007</v>
      </c>
      <c r="D37" s="1"/>
      <c r="E37" s="83"/>
    </row>
    <row r="38" spans="1:5" ht="12" customHeight="1">
      <c r="A38" s="112" t="s">
        <v>630</v>
      </c>
      <c r="B38" s="96" t="s">
        <v>100</v>
      </c>
      <c r="C38" s="155">
        <f>597.7+5.2+79.9</f>
        <v>682.8000000000001</v>
      </c>
      <c r="E38" s="1"/>
    </row>
    <row r="39" spans="1:4" ht="12" customHeight="1">
      <c r="A39" s="111" t="s">
        <v>631</v>
      </c>
      <c r="B39" s="96" t="s">
        <v>237</v>
      </c>
      <c r="C39" s="155">
        <f>111.3+15.7</f>
        <v>127</v>
      </c>
      <c r="D39" s="1"/>
    </row>
    <row r="40" spans="1:4" ht="12" customHeight="1">
      <c r="A40" s="112" t="s">
        <v>632</v>
      </c>
      <c r="B40" s="96" t="s">
        <v>238</v>
      </c>
      <c r="C40" s="155">
        <v>14.6</v>
      </c>
      <c r="D40" s="1"/>
    </row>
    <row r="41" spans="1:5" ht="12" customHeight="1">
      <c r="A41" s="111" t="s">
        <v>633</v>
      </c>
      <c r="B41" s="90" t="s">
        <v>315</v>
      </c>
      <c r="C41" s="155">
        <f>0.7-0.7</f>
        <v>0</v>
      </c>
      <c r="D41" s="1"/>
      <c r="E41" s="83"/>
    </row>
    <row r="42" spans="1:4" ht="27" customHeight="1">
      <c r="A42" s="112" t="s">
        <v>634</v>
      </c>
      <c r="B42" s="99" t="s">
        <v>234</v>
      </c>
      <c r="C42" s="155">
        <v>19.5</v>
      </c>
      <c r="D42" s="1"/>
    </row>
    <row r="43" spans="1:4" ht="12" customHeight="1">
      <c r="A43" s="111" t="s">
        <v>635</v>
      </c>
      <c r="B43" s="99" t="s">
        <v>235</v>
      </c>
      <c r="C43" s="155">
        <v>35.3</v>
      </c>
      <c r="D43" s="1"/>
    </row>
    <row r="44" spans="1:4" ht="12" customHeight="1">
      <c r="A44" s="112" t="s">
        <v>636</v>
      </c>
      <c r="B44" s="99" t="s">
        <v>226</v>
      </c>
      <c r="C44" s="155">
        <v>13.8</v>
      </c>
      <c r="D44" s="1"/>
    </row>
    <row r="45" spans="1:4" ht="12" customHeight="1">
      <c r="A45" s="111" t="s">
        <v>637</v>
      </c>
      <c r="B45" s="99" t="s">
        <v>227</v>
      </c>
      <c r="C45" s="155">
        <v>0.9</v>
      </c>
      <c r="D45" s="1"/>
    </row>
    <row r="46" spans="1:4" ht="12" customHeight="1">
      <c r="A46" s="112" t="s">
        <v>638</v>
      </c>
      <c r="B46" s="99" t="s">
        <v>228</v>
      </c>
      <c r="C46" s="155">
        <v>38</v>
      </c>
      <c r="D46" s="1"/>
    </row>
    <row r="47" spans="1:4" ht="12" customHeight="1">
      <c r="A47" s="111" t="s">
        <v>639</v>
      </c>
      <c r="B47" s="99" t="s">
        <v>229</v>
      </c>
      <c r="C47" s="155">
        <f>657.6+15.9</f>
        <v>673.5</v>
      </c>
      <c r="D47" s="1"/>
    </row>
    <row r="48" spans="1:4" ht="24.75" customHeight="1">
      <c r="A48" s="112" t="s">
        <v>640</v>
      </c>
      <c r="B48" s="99" t="s">
        <v>230</v>
      </c>
      <c r="C48" s="155">
        <f>12.9+0.1</f>
        <v>13</v>
      </c>
      <c r="D48" s="1"/>
    </row>
    <row r="49" spans="1:4" ht="24.75" customHeight="1">
      <c r="A49" s="111" t="s">
        <v>641</v>
      </c>
      <c r="B49" s="99" t="s">
        <v>231</v>
      </c>
      <c r="C49" s="155">
        <v>0.2</v>
      </c>
      <c r="D49" s="1"/>
    </row>
    <row r="50" spans="1:4" ht="12" customHeight="1">
      <c r="A50" s="112" t="s">
        <v>642</v>
      </c>
      <c r="B50" s="99" t="s">
        <v>232</v>
      </c>
      <c r="C50" s="155">
        <f>196.3+2.3</f>
        <v>198.60000000000002</v>
      </c>
      <c r="D50" s="1"/>
    </row>
    <row r="51" spans="1:4" ht="12" customHeight="1">
      <c r="A51" s="111" t="s">
        <v>643</v>
      </c>
      <c r="B51" s="96" t="s">
        <v>52</v>
      </c>
      <c r="C51" s="155">
        <v>324</v>
      </c>
      <c r="D51" s="1"/>
    </row>
    <row r="52" spans="1:4" ht="12" customHeight="1">
      <c r="A52" s="112" t="s">
        <v>644</v>
      </c>
      <c r="B52" s="96" t="s">
        <v>233</v>
      </c>
      <c r="C52" s="155">
        <f>40.9+0.5</f>
        <v>41.4</v>
      </c>
      <c r="D52" s="1"/>
    </row>
    <row r="53" spans="1:4" ht="12" customHeight="1">
      <c r="A53" s="111" t="s">
        <v>645</v>
      </c>
      <c r="B53" s="90" t="s">
        <v>236</v>
      </c>
      <c r="C53" s="155">
        <v>0.6</v>
      </c>
      <c r="D53" s="1"/>
    </row>
    <row r="54" spans="1:4" ht="12" customHeight="1">
      <c r="A54" s="112" t="s">
        <v>646</v>
      </c>
      <c r="B54" s="90" t="s">
        <v>280</v>
      </c>
      <c r="C54" s="155">
        <f>122.1+2.3</f>
        <v>124.39999999999999</v>
      </c>
      <c r="D54" s="1"/>
    </row>
    <row r="55" spans="1:4" ht="12" customHeight="1">
      <c r="A55" s="111" t="s">
        <v>647</v>
      </c>
      <c r="B55" s="90" t="s">
        <v>281</v>
      </c>
      <c r="C55" s="155">
        <f>79.8+1.5</f>
        <v>81.3</v>
      </c>
      <c r="D55" s="1"/>
    </row>
    <row r="56" spans="1:4" ht="12" customHeight="1">
      <c r="A56" s="112" t="s">
        <v>648</v>
      </c>
      <c r="B56" s="90" t="s">
        <v>441</v>
      </c>
      <c r="C56" s="155">
        <v>5.8</v>
      </c>
      <c r="D56" s="1"/>
    </row>
    <row r="57" spans="1:7" ht="12" customHeight="1">
      <c r="A57" s="111">
        <v>27</v>
      </c>
      <c r="B57" s="96" t="s">
        <v>49</v>
      </c>
      <c r="C57" s="155">
        <f>10633.1-27.9</f>
        <v>10605.2</v>
      </c>
      <c r="D57" s="1"/>
      <c r="E57" s="83"/>
      <c r="F57" s="83"/>
      <c r="G57" s="1"/>
    </row>
    <row r="58" spans="1:7" ht="12" customHeight="1">
      <c r="A58" s="111">
        <v>28</v>
      </c>
      <c r="B58" s="96" t="s">
        <v>348</v>
      </c>
      <c r="C58" s="155">
        <f>SUM(C59:C61)</f>
        <v>2232.6</v>
      </c>
      <c r="D58" s="1"/>
      <c r="E58" s="83"/>
      <c r="F58" s="83"/>
      <c r="G58" s="1"/>
    </row>
    <row r="59" spans="1:8" ht="12" customHeight="1">
      <c r="A59" s="113" t="s">
        <v>649</v>
      </c>
      <c r="B59" s="90" t="s">
        <v>349</v>
      </c>
      <c r="C59" s="155">
        <f>538.1+10.5</f>
        <v>548.6</v>
      </c>
      <c r="D59" s="1"/>
      <c r="F59" s="83"/>
      <c r="G59" s="1"/>
      <c r="H59" s="78"/>
    </row>
    <row r="60" spans="1:8" ht="40.5" customHeight="1">
      <c r="A60" s="113" t="s">
        <v>650</v>
      </c>
      <c r="B60" s="90" t="s">
        <v>595</v>
      </c>
      <c r="C60" s="155">
        <v>2.8</v>
      </c>
      <c r="D60" s="1"/>
      <c r="F60" s="83"/>
      <c r="G60" s="1"/>
      <c r="H60" s="78"/>
    </row>
    <row r="61" spans="1:8" ht="28.5" customHeight="1">
      <c r="A61" s="113" t="s">
        <v>651</v>
      </c>
      <c r="B61" s="90" t="s">
        <v>599</v>
      </c>
      <c r="C61" s="155">
        <v>1681.2</v>
      </c>
      <c r="D61" s="1"/>
      <c r="F61" s="83"/>
      <c r="G61" s="1"/>
      <c r="H61" s="78"/>
    </row>
    <row r="62" spans="1:6" ht="27.75" customHeight="1">
      <c r="A62" s="113" t="s">
        <v>520</v>
      </c>
      <c r="B62" s="90" t="s">
        <v>615</v>
      </c>
      <c r="C62" s="155">
        <f>+(280+687)+100+490+168+120+80+209+152.2+42.6+76.6+164</f>
        <v>2569.3999999999996</v>
      </c>
      <c r="D62" s="1"/>
      <c r="F62" s="83"/>
    </row>
    <row r="63" spans="1:6" ht="27" customHeight="1">
      <c r="A63" s="113" t="s">
        <v>652</v>
      </c>
      <c r="B63" s="90" t="s">
        <v>616</v>
      </c>
      <c r="C63" s="155">
        <f>80+76.6</f>
        <v>156.6</v>
      </c>
      <c r="D63" s="1"/>
      <c r="F63" s="83"/>
    </row>
    <row r="64" spans="1:4" ht="12" customHeight="1">
      <c r="A64" s="111">
        <v>30</v>
      </c>
      <c r="B64" s="98" t="s">
        <v>53</v>
      </c>
      <c r="C64" s="154">
        <v>13</v>
      </c>
      <c r="D64" s="1"/>
    </row>
    <row r="65" spans="1:4" ht="12" customHeight="1">
      <c r="A65" s="111">
        <v>31</v>
      </c>
      <c r="B65" s="98" t="s">
        <v>596</v>
      </c>
      <c r="C65" s="154">
        <f>122.9+271.8+115.3+36+37.7+178.7+19+0.8-0.8+4.8-65.6</f>
        <v>720.6</v>
      </c>
      <c r="D65" s="1"/>
    </row>
    <row r="66" spans="1:4" ht="12" customHeight="1">
      <c r="A66" s="111" t="s">
        <v>653</v>
      </c>
      <c r="B66" s="98" t="s">
        <v>597</v>
      </c>
      <c r="C66" s="154">
        <f>10.3+105+36-65.6</f>
        <v>85.70000000000002</v>
      </c>
      <c r="D66" s="1"/>
    </row>
    <row r="67" spans="1:4" ht="12" customHeight="1">
      <c r="A67" s="111">
        <v>32</v>
      </c>
      <c r="B67" s="235" t="s">
        <v>528</v>
      </c>
      <c r="C67" s="154">
        <f>C8+C18+C31+C32+C64+C65</f>
        <v>44645</v>
      </c>
      <c r="D67" s="1"/>
    </row>
    <row r="68" spans="1:6" ht="27.75" customHeight="1">
      <c r="A68" s="111">
        <v>33</v>
      </c>
      <c r="B68" s="166" t="s">
        <v>394</v>
      </c>
      <c r="C68" s="154">
        <v>1067</v>
      </c>
      <c r="D68" s="1"/>
      <c r="F68" s="1"/>
    </row>
    <row r="69" spans="1:7" ht="12" customHeight="1">
      <c r="A69" s="111">
        <v>34</v>
      </c>
      <c r="B69" s="236" t="s">
        <v>529</v>
      </c>
      <c r="C69" s="154">
        <f>+C67+C68</f>
        <v>45712</v>
      </c>
      <c r="D69" s="1"/>
      <c r="E69" s="1"/>
      <c r="F69" s="1"/>
      <c r="G69" s="1"/>
    </row>
    <row r="70" spans="1:7" ht="12" customHeight="1">
      <c r="A70" s="111">
        <v>35</v>
      </c>
      <c r="B70" s="187" t="s">
        <v>521</v>
      </c>
      <c r="C70" s="154">
        <f>SUM(C71:C78)</f>
        <v>4325.8</v>
      </c>
      <c r="D70" s="1"/>
      <c r="E70" s="1"/>
      <c r="F70" s="1"/>
      <c r="G70" s="1"/>
    </row>
    <row r="71" spans="1:7" ht="12" customHeight="1">
      <c r="A71" s="111" t="s">
        <v>654</v>
      </c>
      <c r="B71" s="188" t="s">
        <v>449</v>
      </c>
      <c r="C71" s="155">
        <f>4898.4-2229.4-2.9+60+120+468.5-30+40+78.6+360.9</f>
        <v>3764.0999999999995</v>
      </c>
      <c r="D71" s="1"/>
      <c r="E71" s="1"/>
      <c r="F71" s="1"/>
      <c r="G71" s="1"/>
    </row>
    <row r="72" spans="1:7" ht="12" customHeight="1">
      <c r="A72" s="111" t="s">
        <v>655</v>
      </c>
      <c r="B72" s="188" t="s">
        <v>450</v>
      </c>
      <c r="C72" s="155">
        <v>28.3</v>
      </c>
      <c r="D72" s="1"/>
      <c r="E72" s="1"/>
      <c r="F72" s="1"/>
      <c r="G72" s="1"/>
    </row>
    <row r="73" spans="1:7" ht="12" customHeight="1">
      <c r="A73" s="111" t="s">
        <v>656</v>
      </c>
      <c r="B73" s="188" t="s">
        <v>451</v>
      </c>
      <c r="C73" s="155">
        <v>20.5</v>
      </c>
      <c r="D73" s="1"/>
      <c r="E73" s="1"/>
      <c r="F73" s="1"/>
      <c r="G73" s="1"/>
    </row>
    <row r="74" spans="1:7" ht="12" customHeight="1">
      <c r="A74" s="111" t="s">
        <v>657</v>
      </c>
      <c r="B74" s="189" t="s">
        <v>452</v>
      </c>
      <c r="C74" s="155">
        <v>30.3</v>
      </c>
      <c r="D74" s="1"/>
      <c r="E74" s="1"/>
      <c r="F74" s="1"/>
      <c r="G74" s="1"/>
    </row>
    <row r="75" spans="1:7" ht="12" customHeight="1">
      <c r="A75" s="111" t="s">
        <v>658</v>
      </c>
      <c r="B75" s="96" t="s">
        <v>453</v>
      </c>
      <c r="C75" s="155">
        <v>40</v>
      </c>
      <c r="D75" s="1"/>
      <c r="E75" s="1"/>
      <c r="F75" s="1"/>
      <c r="G75" s="1"/>
    </row>
    <row r="76" spans="1:7" ht="12" customHeight="1">
      <c r="A76" s="111" t="s">
        <v>659</v>
      </c>
      <c r="B76" s="96" t="s">
        <v>454</v>
      </c>
      <c r="C76" s="155">
        <v>175.9</v>
      </c>
      <c r="D76" s="1"/>
      <c r="E76" s="1"/>
      <c r="F76" s="1"/>
      <c r="G76" s="1"/>
    </row>
    <row r="77" spans="1:7" ht="12" customHeight="1">
      <c r="A77" s="111" t="s">
        <v>660</v>
      </c>
      <c r="B77" s="188" t="s">
        <v>518</v>
      </c>
      <c r="C77" s="155">
        <f>119.6+24.5+122.4</f>
        <v>266.5</v>
      </c>
      <c r="D77" s="1"/>
      <c r="E77" s="1"/>
      <c r="F77" s="1"/>
      <c r="G77" s="1"/>
    </row>
    <row r="78" spans="1:7" ht="12" customHeight="1">
      <c r="A78" s="111" t="s">
        <v>661</v>
      </c>
      <c r="B78" s="191" t="s">
        <v>413</v>
      </c>
      <c r="C78" s="155">
        <v>0.2</v>
      </c>
      <c r="D78" s="1"/>
      <c r="E78" s="1"/>
      <c r="F78" s="1"/>
      <c r="G78" s="1"/>
    </row>
    <row r="79" spans="1:4" ht="12.75">
      <c r="A79" s="96">
        <v>36</v>
      </c>
      <c r="B79" s="236" t="s">
        <v>530</v>
      </c>
      <c r="C79" s="237">
        <f>+C69+C70</f>
        <v>50037.8</v>
      </c>
      <c r="D79" s="22"/>
    </row>
    <row r="80" spans="1:3" ht="12.75">
      <c r="A80" s="109"/>
      <c r="B80" s="89" t="s">
        <v>399</v>
      </c>
      <c r="C80" s="160"/>
    </row>
    <row r="81" spans="1:3" ht="12.75">
      <c r="A81" s="109"/>
      <c r="B81" s="89"/>
      <c r="C81" s="160"/>
    </row>
    <row r="82" spans="1:3" ht="12.75">
      <c r="A82" s="109"/>
      <c r="B82" s="89"/>
      <c r="C82" s="160"/>
    </row>
    <row r="83" spans="1:3" ht="12.75">
      <c r="A83" s="109"/>
      <c r="B83" s="89"/>
      <c r="C83" s="160"/>
    </row>
    <row r="84" spans="1:3" ht="12.75">
      <c r="A84" s="109"/>
      <c r="B84" s="89"/>
      <c r="C84" s="87"/>
    </row>
    <row r="85" spans="1:7" ht="12.75">
      <c r="A85" s="109"/>
      <c r="B85" s="89"/>
      <c r="C85" s="87"/>
      <c r="G85" s="1"/>
    </row>
    <row r="86" spans="1:3" ht="12.75">
      <c r="A86" s="109"/>
      <c r="B86" s="89"/>
      <c r="C86" s="87"/>
    </row>
    <row r="87" spans="1:5" ht="12.75">
      <c r="A87" s="109"/>
      <c r="B87" s="107"/>
      <c r="D87" s="1"/>
      <c r="E87" s="170"/>
    </row>
    <row r="88" spans="3:5" ht="12.75">
      <c r="C88" s="1"/>
      <c r="E88" s="1"/>
    </row>
    <row r="89" ht="12.75">
      <c r="C89" s="1"/>
    </row>
    <row r="90" ht="12.75">
      <c r="C90" s="168"/>
    </row>
    <row r="91" ht="12.75">
      <c r="C91" s="1"/>
    </row>
    <row r="92" ht="12.75">
      <c r="C92" s="1"/>
    </row>
    <row r="93" ht="12.75">
      <c r="C93" s="83"/>
    </row>
  </sheetData>
  <sheetProtection/>
  <mergeCells count="3">
    <mergeCell ref="B1:C1"/>
    <mergeCell ref="B2:C2"/>
    <mergeCell ref="A3:C3"/>
  </mergeCells>
  <printOptions/>
  <pageMargins left="0.5905511811023623" right="0"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63"/>
  <sheetViews>
    <sheetView zoomScalePageLayoutView="0" workbookViewId="0" topLeftCell="A1">
      <selection activeCell="J31" sqref="J31"/>
    </sheetView>
  </sheetViews>
  <sheetFormatPr defaultColWidth="9.140625" defaultRowHeight="12.75"/>
  <cols>
    <col min="1" max="1" width="4.7109375" style="2" customWidth="1"/>
    <col min="2" max="2" width="5.140625" style="59" customWidth="1"/>
    <col min="3" max="3" width="41.421875" style="59" customWidth="1"/>
    <col min="4" max="4" width="9.8515625" style="6" customWidth="1"/>
    <col min="5" max="6" width="9.421875" style="6" customWidth="1"/>
    <col min="7" max="7" width="9.00390625" style="6" customWidth="1"/>
    <col min="8" max="8" width="8.8515625" style="6" customWidth="1"/>
    <col min="9" max="16384" width="9.140625" style="2" customWidth="1"/>
  </cols>
  <sheetData>
    <row r="1" spans="3:8" ht="15.75">
      <c r="C1" s="291" t="s">
        <v>345</v>
      </c>
      <c r="D1" s="291"/>
      <c r="E1" s="291"/>
      <c r="F1" s="291"/>
      <c r="G1" s="291"/>
      <c r="H1" s="291"/>
    </row>
    <row r="2" spans="3:8" ht="15.75">
      <c r="C2" s="291" t="s">
        <v>938</v>
      </c>
      <c r="D2" s="291"/>
      <c r="E2" s="291"/>
      <c r="F2" s="291"/>
      <c r="G2" s="291"/>
      <c r="H2" s="291"/>
    </row>
    <row r="3" spans="5:8" ht="15.75">
      <c r="E3" s="297" t="s">
        <v>383</v>
      </c>
      <c r="F3" s="297"/>
      <c r="G3" s="297"/>
      <c r="H3" s="297"/>
    </row>
    <row r="4" spans="5:8" ht="15.75">
      <c r="E4" s="31"/>
      <c r="F4" s="31"/>
      <c r="G4" s="31"/>
      <c r="H4" s="31"/>
    </row>
    <row r="5" spans="1:8" ht="35.25" customHeight="1">
      <c r="A5" s="323" t="s">
        <v>588</v>
      </c>
      <c r="B5" s="323"/>
      <c r="C5" s="323"/>
      <c r="D5" s="323"/>
      <c r="E5" s="323"/>
      <c r="F5" s="323"/>
      <c r="G5" s="323"/>
      <c r="H5" s="323"/>
    </row>
    <row r="6" spans="1:8" ht="12.75">
      <c r="A6" s="32"/>
      <c r="B6" s="60"/>
      <c r="C6" s="60"/>
      <c r="D6" s="37"/>
      <c r="E6" s="37"/>
      <c r="F6" s="37"/>
      <c r="G6" s="37"/>
      <c r="H6" s="6" t="s">
        <v>396</v>
      </c>
    </row>
    <row r="7" spans="1:8" ht="12.75" customHeight="1">
      <c r="A7" s="300" t="s">
        <v>0</v>
      </c>
      <c r="B7" s="320" t="s">
        <v>32</v>
      </c>
      <c r="C7" s="310" t="s">
        <v>16</v>
      </c>
      <c r="D7" s="316" t="s">
        <v>131</v>
      </c>
      <c r="E7" s="300" t="s">
        <v>17</v>
      </c>
      <c r="F7" s="300" t="s">
        <v>199</v>
      </c>
      <c r="G7" s="300"/>
      <c r="H7" s="35"/>
    </row>
    <row r="8" spans="1:8" ht="12.75" customHeight="1">
      <c r="A8" s="301"/>
      <c r="B8" s="320"/>
      <c r="C8" s="310"/>
      <c r="D8" s="317"/>
      <c r="E8" s="300"/>
      <c r="F8" s="300" t="s">
        <v>19</v>
      </c>
      <c r="G8" s="300"/>
      <c r="H8" s="300" t="s">
        <v>33</v>
      </c>
    </row>
    <row r="9" spans="1:8" ht="39.75" customHeight="1">
      <c r="A9" s="301"/>
      <c r="B9" s="320"/>
      <c r="C9" s="310"/>
      <c r="D9" s="321"/>
      <c r="E9" s="300"/>
      <c r="F9" s="7" t="s">
        <v>34</v>
      </c>
      <c r="G9" s="7" t="s">
        <v>35</v>
      </c>
      <c r="H9" s="300"/>
    </row>
    <row r="10" spans="1:12" s="15" customFormat="1" ht="12.75" customHeight="1">
      <c r="A10" s="39">
        <v>1</v>
      </c>
      <c r="B10" s="9" t="s">
        <v>20</v>
      </c>
      <c r="C10" s="9" t="s">
        <v>200</v>
      </c>
      <c r="D10" s="7">
        <v>4</v>
      </c>
      <c r="E10" s="7">
        <v>5</v>
      </c>
      <c r="F10" s="7">
        <v>6</v>
      </c>
      <c r="G10" s="7">
        <v>7</v>
      </c>
      <c r="H10" s="39">
        <v>8</v>
      </c>
      <c r="I10" s="2"/>
      <c r="J10" s="2"/>
      <c r="K10" s="2"/>
      <c r="L10" s="2"/>
    </row>
    <row r="11" spans="1:12" s="15" customFormat="1" ht="19.5" customHeight="1">
      <c r="A11" s="70">
        <v>1</v>
      </c>
      <c r="B11" s="8" t="s">
        <v>134</v>
      </c>
      <c r="C11" s="65" t="s">
        <v>135</v>
      </c>
      <c r="D11" s="7"/>
      <c r="E11" s="121">
        <f>+F11+H11</f>
        <v>646.6</v>
      </c>
      <c r="F11" s="121">
        <f>+F13+F17</f>
        <v>0</v>
      </c>
      <c r="G11" s="121">
        <f>+G13+G17</f>
        <v>0</v>
      </c>
      <c r="H11" s="121">
        <f>+H13+H17</f>
        <v>646.6</v>
      </c>
      <c r="I11" s="1"/>
      <c r="J11" s="1"/>
      <c r="K11" s="1"/>
      <c r="L11" s="1"/>
    </row>
    <row r="12" spans="1:12" s="15" customFormat="1" ht="45" customHeight="1">
      <c r="A12" s="70">
        <v>2</v>
      </c>
      <c r="B12" s="10" t="s">
        <v>201</v>
      </c>
      <c r="C12" s="26" t="s">
        <v>589</v>
      </c>
      <c r="D12" s="7"/>
      <c r="E12" s="124">
        <f>+F12+H12</f>
        <v>490</v>
      </c>
      <c r="F12" s="124">
        <f>+F13</f>
        <v>0</v>
      </c>
      <c r="G12" s="124">
        <f>+G13</f>
        <v>0</v>
      </c>
      <c r="H12" s="124">
        <f>+H13</f>
        <v>490</v>
      </c>
      <c r="I12" s="1"/>
      <c r="J12" s="1"/>
      <c r="K12" s="1"/>
      <c r="L12" s="1"/>
    </row>
    <row r="13" spans="1:12" ht="18" customHeight="1">
      <c r="A13" s="70">
        <v>3</v>
      </c>
      <c r="B13" s="8"/>
      <c r="C13" s="43" t="s">
        <v>307</v>
      </c>
      <c r="D13" s="10"/>
      <c r="E13" s="124">
        <f>SUM(E15:E15)</f>
        <v>490</v>
      </c>
      <c r="F13" s="124">
        <f>+F15</f>
        <v>0</v>
      </c>
      <c r="G13" s="124">
        <f>+G15</f>
        <v>0</v>
      </c>
      <c r="H13" s="124">
        <f>+H15</f>
        <v>490</v>
      </c>
      <c r="I13" s="1"/>
      <c r="J13" s="1"/>
      <c r="K13" s="1"/>
      <c r="L13" s="1"/>
    </row>
    <row r="14" spans="1:12" ht="12.75" customHeight="1">
      <c r="A14" s="70"/>
      <c r="B14" s="8"/>
      <c r="C14" s="43" t="s">
        <v>154</v>
      </c>
      <c r="D14" s="10"/>
      <c r="E14" s="124"/>
      <c r="F14" s="124"/>
      <c r="G14" s="124"/>
      <c r="H14" s="124"/>
      <c r="I14" s="1"/>
      <c r="J14" s="1"/>
      <c r="K14" s="1"/>
      <c r="L14" s="1"/>
    </row>
    <row r="15" spans="1:12" ht="43.5" customHeight="1">
      <c r="A15" s="108" t="s">
        <v>793</v>
      </c>
      <c r="B15" s="8"/>
      <c r="C15" s="104" t="s">
        <v>340</v>
      </c>
      <c r="D15" s="10" t="s">
        <v>138</v>
      </c>
      <c r="E15" s="124">
        <f>+F15+H15</f>
        <v>490</v>
      </c>
      <c r="F15" s="124"/>
      <c r="G15" s="124"/>
      <c r="H15" s="124">
        <v>490</v>
      </c>
      <c r="I15" s="1"/>
      <c r="J15" s="1"/>
      <c r="K15" s="1"/>
      <c r="L15" s="1"/>
    </row>
    <row r="16" spans="1:12" ht="48" customHeight="1">
      <c r="A16" s="70">
        <v>4</v>
      </c>
      <c r="B16" s="10" t="s">
        <v>205</v>
      </c>
      <c r="C16" s="26" t="s">
        <v>613</v>
      </c>
      <c r="D16" s="10"/>
      <c r="E16" s="125">
        <f>+F16+H16</f>
        <v>156.6</v>
      </c>
      <c r="F16" s="125">
        <f>+F17</f>
        <v>0</v>
      </c>
      <c r="G16" s="125">
        <f>+G17</f>
        <v>0</v>
      </c>
      <c r="H16" s="125">
        <f>+H17</f>
        <v>156.6</v>
      </c>
      <c r="I16" s="1"/>
      <c r="J16" s="1"/>
      <c r="K16" s="1"/>
      <c r="L16" s="1"/>
    </row>
    <row r="17" spans="1:12" ht="19.5" customHeight="1">
      <c r="A17" s="70">
        <v>5</v>
      </c>
      <c r="B17" s="10"/>
      <c r="C17" s="43" t="s">
        <v>307</v>
      </c>
      <c r="D17" s="10"/>
      <c r="E17" s="124">
        <f>+F17+H17</f>
        <v>156.6</v>
      </c>
      <c r="F17" s="125">
        <f>+F19+F20</f>
        <v>0</v>
      </c>
      <c r="G17" s="125">
        <f>+G19+G20</f>
        <v>0</v>
      </c>
      <c r="H17" s="125">
        <f>+H19+H20</f>
        <v>156.6</v>
      </c>
      <c r="I17" s="1"/>
      <c r="J17" s="1"/>
      <c r="K17" s="1"/>
      <c r="L17" s="1"/>
    </row>
    <row r="18" spans="1:12" ht="15" customHeight="1">
      <c r="A18" s="70"/>
      <c r="B18" s="10"/>
      <c r="C18" s="43" t="s">
        <v>154</v>
      </c>
      <c r="D18" s="10"/>
      <c r="E18" s="124"/>
      <c r="F18" s="124"/>
      <c r="G18" s="124"/>
      <c r="H18" s="124"/>
      <c r="I18" s="1"/>
      <c r="J18" s="1"/>
      <c r="K18" s="1"/>
      <c r="L18" s="1"/>
    </row>
    <row r="19" spans="1:12" ht="41.25" customHeight="1">
      <c r="A19" s="108" t="s">
        <v>794</v>
      </c>
      <c r="B19" s="10"/>
      <c r="C19" s="104" t="s">
        <v>614</v>
      </c>
      <c r="D19" s="10" t="s">
        <v>138</v>
      </c>
      <c r="E19" s="124">
        <f>+F19+H19</f>
        <v>80</v>
      </c>
      <c r="F19" s="124"/>
      <c r="G19" s="124"/>
      <c r="H19" s="124">
        <v>80</v>
      </c>
      <c r="I19" s="1"/>
      <c r="J19" s="1"/>
      <c r="K19" s="1"/>
      <c r="L19" s="1"/>
    </row>
    <row r="20" spans="1:12" ht="41.25" customHeight="1">
      <c r="A20" s="108" t="s">
        <v>879</v>
      </c>
      <c r="B20" s="10"/>
      <c r="C20" s="104" t="s">
        <v>880</v>
      </c>
      <c r="D20" s="10" t="s">
        <v>139</v>
      </c>
      <c r="E20" s="124">
        <f>+F20+H20</f>
        <v>76.6</v>
      </c>
      <c r="F20" s="124"/>
      <c r="G20" s="124"/>
      <c r="H20" s="124">
        <v>76.6</v>
      </c>
      <c r="I20" s="1"/>
      <c r="J20" s="1"/>
      <c r="K20" s="1"/>
      <c r="L20" s="1"/>
    </row>
    <row r="21" spans="1:13" ht="19.5" customHeight="1">
      <c r="A21" s="70">
        <v>6</v>
      </c>
      <c r="B21" s="8" t="s">
        <v>145</v>
      </c>
      <c r="C21" s="11" t="s">
        <v>146</v>
      </c>
      <c r="D21" s="10"/>
      <c r="E21" s="119">
        <f>+E22</f>
        <v>268</v>
      </c>
      <c r="F21" s="119">
        <f>+F22</f>
        <v>0</v>
      </c>
      <c r="G21" s="119">
        <f>+G22</f>
        <v>0</v>
      </c>
      <c r="H21" s="119">
        <f>+H22</f>
        <v>268</v>
      </c>
      <c r="I21" s="1"/>
      <c r="J21" s="1"/>
      <c r="K21" s="1"/>
      <c r="L21" s="1"/>
      <c r="M21" s="23"/>
    </row>
    <row r="22" spans="1:13" ht="43.5" customHeight="1">
      <c r="A22" s="70">
        <v>7</v>
      </c>
      <c r="B22" s="8"/>
      <c r="C22" s="26" t="s">
        <v>589</v>
      </c>
      <c r="D22" s="10"/>
      <c r="E22" s="125">
        <f>+F22+H22</f>
        <v>268</v>
      </c>
      <c r="F22" s="125">
        <f>+F23</f>
        <v>0</v>
      </c>
      <c r="G22" s="125">
        <f>+G23</f>
        <v>0</v>
      </c>
      <c r="H22" s="125">
        <f>+H23</f>
        <v>268</v>
      </c>
      <c r="I22" s="1"/>
      <c r="J22" s="1"/>
      <c r="K22" s="1"/>
      <c r="L22" s="1"/>
      <c r="M22" s="23"/>
    </row>
    <row r="23" spans="1:12" ht="12" customHeight="1">
      <c r="A23" s="70">
        <v>8</v>
      </c>
      <c r="B23" s="8"/>
      <c r="C23" s="43" t="s">
        <v>307</v>
      </c>
      <c r="D23" s="10"/>
      <c r="E23" s="124">
        <f>SUM(E25)</f>
        <v>268</v>
      </c>
      <c r="F23" s="124">
        <f>+F25</f>
        <v>0</v>
      </c>
      <c r="G23" s="124">
        <f>+G25</f>
        <v>0</v>
      </c>
      <c r="H23" s="124">
        <f>+H25</f>
        <v>268</v>
      </c>
      <c r="I23" s="1"/>
      <c r="J23" s="1"/>
      <c r="K23" s="1"/>
      <c r="L23" s="1"/>
    </row>
    <row r="24" spans="1:12" ht="12" customHeight="1">
      <c r="A24" s="70"/>
      <c r="B24" s="8"/>
      <c r="C24" s="43" t="s">
        <v>154</v>
      </c>
      <c r="D24" s="10"/>
      <c r="E24" s="124"/>
      <c r="F24" s="124"/>
      <c r="G24" s="124"/>
      <c r="H24" s="124"/>
      <c r="I24" s="1"/>
      <c r="J24" s="1"/>
      <c r="K24" s="1"/>
      <c r="L24" s="1"/>
    </row>
    <row r="25" spans="1:12" ht="82.5" customHeight="1">
      <c r="A25" s="108" t="s">
        <v>786</v>
      </c>
      <c r="B25" s="8"/>
      <c r="C25" s="104" t="s">
        <v>384</v>
      </c>
      <c r="D25" s="10" t="s">
        <v>150</v>
      </c>
      <c r="E25" s="124">
        <f>+F25+H25</f>
        <v>268</v>
      </c>
      <c r="F25" s="124"/>
      <c r="G25" s="124"/>
      <c r="H25" s="124">
        <f>100+168</f>
        <v>268</v>
      </c>
      <c r="I25" s="1"/>
      <c r="J25" s="1"/>
      <c r="K25" s="1"/>
      <c r="L25" s="1"/>
    </row>
    <row r="26" spans="1:13" ht="19.5" customHeight="1">
      <c r="A26" s="70">
        <v>9</v>
      </c>
      <c r="B26" s="8" t="s">
        <v>23</v>
      </c>
      <c r="C26" s="11" t="s">
        <v>24</v>
      </c>
      <c r="D26" s="10"/>
      <c r="E26" s="119">
        <f>+F26+H26</f>
        <v>284</v>
      </c>
      <c r="F26" s="119">
        <f aca="true" t="shared" si="0" ref="F26:H27">+F27</f>
        <v>0</v>
      </c>
      <c r="G26" s="119">
        <f t="shared" si="0"/>
        <v>0</v>
      </c>
      <c r="H26" s="119">
        <f t="shared" si="0"/>
        <v>284</v>
      </c>
      <c r="I26" s="1"/>
      <c r="J26" s="1"/>
      <c r="K26" s="1"/>
      <c r="L26" s="1"/>
      <c r="M26" s="23"/>
    </row>
    <row r="27" spans="1:13" ht="45" customHeight="1">
      <c r="A27" s="70">
        <v>10</v>
      </c>
      <c r="B27" s="8"/>
      <c r="C27" s="26" t="s">
        <v>589</v>
      </c>
      <c r="D27" s="10"/>
      <c r="E27" s="125">
        <f>+F27+H27</f>
        <v>284</v>
      </c>
      <c r="F27" s="125">
        <f t="shared" si="0"/>
        <v>0</v>
      </c>
      <c r="G27" s="125">
        <f t="shared" si="0"/>
        <v>0</v>
      </c>
      <c r="H27" s="125">
        <f t="shared" si="0"/>
        <v>284</v>
      </c>
      <c r="I27" s="1"/>
      <c r="J27" s="1"/>
      <c r="K27" s="1"/>
      <c r="L27" s="1"/>
      <c r="M27" s="23"/>
    </row>
    <row r="28" spans="1:12" ht="12" customHeight="1">
      <c r="A28" s="70">
        <v>11</v>
      </c>
      <c r="B28" s="8"/>
      <c r="C28" s="43" t="s">
        <v>307</v>
      </c>
      <c r="D28" s="10"/>
      <c r="E28" s="124">
        <f>SUM(E30)</f>
        <v>284</v>
      </c>
      <c r="F28" s="124">
        <f>+F30</f>
        <v>0</v>
      </c>
      <c r="G28" s="124">
        <f>+G30</f>
        <v>0</v>
      </c>
      <c r="H28" s="124">
        <f>+H30</f>
        <v>284</v>
      </c>
      <c r="I28" s="1"/>
      <c r="J28" s="1"/>
      <c r="K28" s="1"/>
      <c r="L28" s="1"/>
    </row>
    <row r="29" spans="1:12" ht="12" customHeight="1">
      <c r="A29" s="70"/>
      <c r="B29" s="8"/>
      <c r="C29" s="43" t="s">
        <v>154</v>
      </c>
      <c r="D29" s="10"/>
      <c r="E29" s="124"/>
      <c r="F29" s="124"/>
      <c r="G29" s="124"/>
      <c r="H29" s="124"/>
      <c r="I29" s="1"/>
      <c r="J29" s="1"/>
      <c r="K29" s="1"/>
      <c r="L29" s="1"/>
    </row>
    <row r="30" spans="1:12" ht="30" customHeight="1">
      <c r="A30" s="108" t="s">
        <v>70</v>
      </c>
      <c r="B30" s="8"/>
      <c r="C30" s="104" t="s">
        <v>945</v>
      </c>
      <c r="D30" s="10" t="s">
        <v>153</v>
      </c>
      <c r="E30" s="124">
        <f>+F30+H30</f>
        <v>284</v>
      </c>
      <c r="F30" s="124"/>
      <c r="G30" s="124"/>
      <c r="H30" s="124">
        <f>120+164</f>
        <v>284</v>
      </c>
      <c r="I30" s="1"/>
      <c r="J30" s="1"/>
      <c r="K30" s="1"/>
      <c r="L30" s="1"/>
    </row>
    <row r="31" spans="1:12" ht="20.25" customHeight="1">
      <c r="A31" s="70">
        <v>12</v>
      </c>
      <c r="B31" s="8" t="s">
        <v>162</v>
      </c>
      <c r="C31" s="11" t="s">
        <v>163</v>
      </c>
      <c r="D31" s="10"/>
      <c r="E31" s="119">
        <f>+F31+H31</f>
        <v>967</v>
      </c>
      <c r="F31" s="119">
        <f aca="true" t="shared" si="1" ref="F31:H32">+F32</f>
        <v>0</v>
      </c>
      <c r="G31" s="119">
        <f t="shared" si="1"/>
        <v>0</v>
      </c>
      <c r="H31" s="119">
        <f t="shared" si="1"/>
        <v>967</v>
      </c>
      <c r="I31" s="1"/>
      <c r="J31" s="1"/>
      <c r="K31" s="1"/>
      <c r="L31" s="1"/>
    </row>
    <row r="32" spans="1:12" ht="47.25" customHeight="1">
      <c r="A32" s="70">
        <v>13</v>
      </c>
      <c r="B32" s="8"/>
      <c r="C32" s="26" t="s">
        <v>589</v>
      </c>
      <c r="D32" s="10"/>
      <c r="E32" s="125">
        <f>+F32+H32</f>
        <v>967</v>
      </c>
      <c r="F32" s="125">
        <f t="shared" si="1"/>
        <v>0</v>
      </c>
      <c r="G32" s="125">
        <f t="shared" si="1"/>
        <v>0</v>
      </c>
      <c r="H32" s="125">
        <f t="shared" si="1"/>
        <v>967</v>
      </c>
      <c r="I32" s="1"/>
      <c r="J32" s="1"/>
      <c r="K32" s="1"/>
      <c r="L32" s="1"/>
    </row>
    <row r="33" spans="1:12" ht="18" customHeight="1">
      <c r="A33" s="70">
        <v>14</v>
      </c>
      <c r="B33" s="8"/>
      <c r="C33" s="43" t="s">
        <v>307</v>
      </c>
      <c r="D33" s="10"/>
      <c r="E33" s="124">
        <f>SUM(E35:E35)</f>
        <v>967</v>
      </c>
      <c r="F33" s="124">
        <f>+F35</f>
        <v>0</v>
      </c>
      <c r="G33" s="124">
        <f>+G35</f>
        <v>0</v>
      </c>
      <c r="H33" s="124">
        <f>+H35</f>
        <v>967</v>
      </c>
      <c r="I33" s="1"/>
      <c r="J33" s="1"/>
      <c r="K33" s="1"/>
      <c r="L33" s="1"/>
    </row>
    <row r="34" spans="1:12" ht="13.5" customHeight="1">
      <c r="A34" s="150"/>
      <c r="B34" s="8"/>
      <c r="C34" s="43" t="s">
        <v>154</v>
      </c>
      <c r="D34" s="10"/>
      <c r="E34" s="124"/>
      <c r="F34" s="124"/>
      <c r="G34" s="124"/>
      <c r="H34" s="124"/>
      <c r="I34" s="1"/>
      <c r="J34" s="1"/>
      <c r="K34" s="1"/>
      <c r="L34" s="1"/>
    </row>
    <row r="35" spans="1:12" ht="57" customHeight="1">
      <c r="A35" s="150" t="s">
        <v>795</v>
      </c>
      <c r="B35" s="8"/>
      <c r="C35" s="275" t="s">
        <v>341</v>
      </c>
      <c r="D35" s="10" t="s">
        <v>165</v>
      </c>
      <c r="E35" s="124">
        <f>+F35+H35</f>
        <v>967</v>
      </c>
      <c r="F35" s="124"/>
      <c r="G35" s="124"/>
      <c r="H35" s="124">
        <f>280+687</f>
        <v>967</v>
      </c>
      <c r="I35" s="1"/>
      <c r="J35" s="1"/>
      <c r="K35" s="1"/>
      <c r="L35" s="1"/>
    </row>
    <row r="36" spans="1:12" ht="39" customHeight="1">
      <c r="A36" s="150" t="s">
        <v>619</v>
      </c>
      <c r="B36" s="8" t="s">
        <v>242</v>
      </c>
      <c r="C36" s="97" t="s">
        <v>243</v>
      </c>
      <c r="D36" s="10"/>
      <c r="E36" s="122">
        <f>+F36+H36</f>
        <v>209</v>
      </c>
      <c r="F36" s="122">
        <f aca="true" t="shared" si="2" ref="F36:H37">+F37</f>
        <v>0</v>
      </c>
      <c r="G36" s="122">
        <f t="shared" si="2"/>
        <v>0</v>
      </c>
      <c r="H36" s="122">
        <f t="shared" si="2"/>
        <v>209</v>
      </c>
      <c r="I36" s="1"/>
      <c r="J36" s="1"/>
      <c r="K36" s="1"/>
      <c r="L36" s="1"/>
    </row>
    <row r="37" spans="1:12" ht="42.75" customHeight="1">
      <c r="A37" s="150" t="s">
        <v>620</v>
      </c>
      <c r="B37" s="8"/>
      <c r="C37" s="26" t="s">
        <v>589</v>
      </c>
      <c r="D37" s="10"/>
      <c r="E37" s="124">
        <f>+F37+H37</f>
        <v>209</v>
      </c>
      <c r="F37" s="124">
        <f t="shared" si="2"/>
        <v>0</v>
      </c>
      <c r="G37" s="124">
        <f t="shared" si="2"/>
        <v>0</v>
      </c>
      <c r="H37" s="124">
        <f t="shared" si="2"/>
        <v>209</v>
      </c>
      <c r="I37" s="1"/>
      <c r="J37" s="1"/>
      <c r="K37" s="1"/>
      <c r="L37" s="1"/>
    </row>
    <row r="38" spans="1:12" ht="18" customHeight="1">
      <c r="A38" s="150" t="s">
        <v>621</v>
      </c>
      <c r="B38" s="8"/>
      <c r="C38" s="43" t="s">
        <v>307</v>
      </c>
      <c r="E38" s="124">
        <f>+F38+H38</f>
        <v>209</v>
      </c>
      <c r="F38" s="124">
        <f>+F40</f>
        <v>0</v>
      </c>
      <c r="G38" s="124">
        <f>+G40</f>
        <v>0</v>
      </c>
      <c r="H38" s="124">
        <f>+H40</f>
        <v>209</v>
      </c>
      <c r="I38" s="1"/>
      <c r="J38" s="1"/>
      <c r="K38" s="1"/>
      <c r="L38" s="1"/>
    </row>
    <row r="39" spans="1:12" ht="18" customHeight="1">
      <c r="A39" s="150"/>
      <c r="B39" s="8"/>
      <c r="C39" s="43" t="s">
        <v>154</v>
      </c>
      <c r="D39" s="10"/>
      <c r="E39" s="124"/>
      <c r="F39" s="124"/>
      <c r="G39" s="124"/>
      <c r="H39" s="124"/>
      <c r="I39" s="1"/>
      <c r="J39" s="1"/>
      <c r="K39" s="1"/>
      <c r="L39" s="1"/>
    </row>
    <row r="40" spans="1:11" ht="31.5" customHeight="1">
      <c r="A40" s="150" t="s">
        <v>796</v>
      </c>
      <c r="B40" s="8"/>
      <c r="C40" s="104" t="s">
        <v>407</v>
      </c>
      <c r="D40" s="165" t="s">
        <v>319</v>
      </c>
      <c r="E40" s="124">
        <f>+F40+H40</f>
        <v>209</v>
      </c>
      <c r="F40" s="124"/>
      <c r="G40" s="124"/>
      <c r="H40" s="124">
        <v>209</v>
      </c>
      <c r="I40" s="1"/>
      <c r="J40" s="1"/>
      <c r="K40" s="1"/>
    </row>
    <row r="41" spans="1:12" ht="32.25" customHeight="1">
      <c r="A41" s="150" t="s">
        <v>401</v>
      </c>
      <c r="B41" s="8" t="s">
        <v>168</v>
      </c>
      <c r="C41" s="114" t="s">
        <v>169</v>
      </c>
      <c r="D41" s="10"/>
      <c r="E41" s="124">
        <f>+F41+H41</f>
        <v>194.8</v>
      </c>
      <c r="F41" s="124">
        <f aca="true" t="shared" si="3" ref="F41:H42">+F42</f>
        <v>0</v>
      </c>
      <c r="G41" s="124">
        <f t="shared" si="3"/>
        <v>0</v>
      </c>
      <c r="H41" s="124">
        <f t="shared" si="3"/>
        <v>194.8</v>
      </c>
      <c r="I41" s="1"/>
      <c r="J41" s="1"/>
      <c r="K41" s="1"/>
      <c r="L41" s="1"/>
    </row>
    <row r="42" spans="1:12" ht="48.75" customHeight="1">
      <c r="A42" s="150" t="s">
        <v>402</v>
      </c>
      <c r="B42" s="8"/>
      <c r="C42" s="26" t="s">
        <v>589</v>
      </c>
      <c r="D42" s="165"/>
      <c r="E42" s="124">
        <f>+F42+H42</f>
        <v>194.8</v>
      </c>
      <c r="F42" s="124">
        <f t="shared" si="3"/>
        <v>0</v>
      </c>
      <c r="G42" s="124">
        <f t="shared" si="3"/>
        <v>0</v>
      </c>
      <c r="H42" s="124">
        <f t="shared" si="3"/>
        <v>194.8</v>
      </c>
      <c r="I42" s="1"/>
      <c r="J42" s="1"/>
      <c r="K42" s="1"/>
      <c r="L42" s="1"/>
    </row>
    <row r="43" spans="1:12" ht="18" customHeight="1">
      <c r="A43" s="150" t="s">
        <v>403</v>
      </c>
      <c r="B43" s="8"/>
      <c r="C43" s="43" t="s">
        <v>307</v>
      </c>
      <c r="D43" s="165" t="s">
        <v>319</v>
      </c>
      <c r="E43" s="124">
        <f>+F43+H43</f>
        <v>194.8</v>
      </c>
      <c r="F43" s="124">
        <f>+F45+F46</f>
        <v>0</v>
      </c>
      <c r="G43" s="124">
        <f>+G45+G46</f>
        <v>0</v>
      </c>
      <c r="H43" s="124">
        <f>+H45+H46</f>
        <v>194.8</v>
      </c>
      <c r="I43" s="1"/>
      <c r="J43" s="1"/>
      <c r="K43" s="1"/>
      <c r="L43" s="1"/>
    </row>
    <row r="44" spans="1:12" ht="18" customHeight="1">
      <c r="A44" s="150"/>
      <c r="B44" s="8"/>
      <c r="C44" s="43" t="s">
        <v>154</v>
      </c>
      <c r="D44" s="165"/>
      <c r="E44" s="124"/>
      <c r="F44" s="124"/>
      <c r="G44" s="124"/>
      <c r="H44" s="124"/>
      <c r="I44" s="1"/>
      <c r="J44" s="1"/>
      <c r="K44" s="1"/>
      <c r="L44" s="1"/>
    </row>
    <row r="45" spans="1:14" ht="44.25" customHeight="1">
      <c r="A45" s="150" t="s">
        <v>875</v>
      </c>
      <c r="B45" s="8"/>
      <c r="C45" s="104" t="s">
        <v>617</v>
      </c>
      <c r="D45" s="165"/>
      <c r="E45" s="124">
        <f>+F45+H45</f>
        <v>182.1</v>
      </c>
      <c r="F45" s="124"/>
      <c r="G45" s="124"/>
      <c r="H45" s="124">
        <f>152.2+29.9</f>
        <v>182.1</v>
      </c>
      <c r="I45" s="1"/>
      <c r="J45" s="1"/>
      <c r="K45" s="1"/>
      <c r="L45" s="1"/>
      <c r="N45" s="1"/>
    </row>
    <row r="46" spans="1:14" ht="54.75" customHeight="1">
      <c r="A46" s="150" t="s">
        <v>876</v>
      </c>
      <c r="B46" s="8"/>
      <c r="C46" s="104" t="s">
        <v>618</v>
      </c>
      <c r="D46" s="165"/>
      <c r="E46" s="124">
        <f>+F46+H46</f>
        <v>12.700000000000003</v>
      </c>
      <c r="F46" s="124"/>
      <c r="G46" s="124"/>
      <c r="H46" s="124">
        <f>42.6-29.9</f>
        <v>12.700000000000003</v>
      </c>
      <c r="I46" s="1"/>
      <c r="J46" s="1"/>
      <c r="K46" s="1"/>
      <c r="N46" s="1"/>
    </row>
    <row r="47" spans="1:12" ht="12.75" customHeight="1">
      <c r="A47" s="70">
        <v>21</v>
      </c>
      <c r="B47" s="149"/>
      <c r="C47" s="64" t="s">
        <v>22</v>
      </c>
      <c r="D47" s="165"/>
      <c r="E47" s="152">
        <f>+F47+H47</f>
        <v>2569.4</v>
      </c>
      <c r="F47" s="152">
        <f>+F11+F21+F26+F31+F36+F41</f>
        <v>0</v>
      </c>
      <c r="G47" s="152">
        <f>+G11+G21+G26+G31+G36+G41</f>
        <v>0</v>
      </c>
      <c r="H47" s="152">
        <f>+H11+H21+H26+H31+H36+H41</f>
        <v>2569.4</v>
      </c>
      <c r="I47" s="1"/>
      <c r="J47" s="1"/>
      <c r="K47" s="1"/>
      <c r="L47" s="1"/>
    </row>
    <row r="48" spans="3:8" ht="12.75">
      <c r="C48" s="61" t="s">
        <v>295</v>
      </c>
      <c r="D48" s="62"/>
      <c r="E48" s="17"/>
      <c r="F48" s="42"/>
      <c r="G48" s="42"/>
      <c r="H48" s="42"/>
    </row>
    <row r="49" spans="3:8" ht="12.75">
      <c r="C49" s="63"/>
      <c r="D49" s="62"/>
      <c r="E49" s="17"/>
      <c r="F49" s="17"/>
      <c r="G49" s="17"/>
      <c r="H49" s="17"/>
    </row>
    <row r="50" spans="5:8" ht="12.75">
      <c r="E50" s="17"/>
      <c r="F50" s="17"/>
      <c r="G50" s="17"/>
      <c r="H50" s="17"/>
    </row>
    <row r="51" spans="5:8" ht="12.75">
      <c r="E51" s="1"/>
      <c r="F51" s="1"/>
      <c r="G51" s="1"/>
      <c r="H51" s="1"/>
    </row>
    <row r="52" spans="4:8" ht="12.75">
      <c r="D52" s="2"/>
      <c r="E52" s="83"/>
      <c r="F52" s="1"/>
      <c r="G52" s="1"/>
      <c r="H52" s="1"/>
    </row>
    <row r="53" spans="4:8" ht="12.75">
      <c r="D53" s="2"/>
      <c r="E53" s="83"/>
      <c r="F53" s="1"/>
      <c r="G53" s="1"/>
      <c r="H53" s="1"/>
    </row>
    <row r="54" spans="4:8" ht="12.75">
      <c r="D54" s="2"/>
      <c r="E54" s="83"/>
      <c r="F54" s="1"/>
      <c r="G54" s="1"/>
      <c r="H54" s="1"/>
    </row>
    <row r="55" spans="4:8" ht="12.75">
      <c r="D55" s="2"/>
      <c r="E55" s="1"/>
      <c r="F55" s="1"/>
      <c r="G55" s="1"/>
      <c r="H55" s="1"/>
    </row>
    <row r="56" spans="3:8" ht="12.75">
      <c r="C56" s="2"/>
      <c r="D56" s="2"/>
      <c r="E56" s="17"/>
      <c r="F56" s="17"/>
      <c r="G56" s="17"/>
      <c r="H56" s="17"/>
    </row>
    <row r="57" spans="4:8" ht="12.75">
      <c r="D57" s="2"/>
      <c r="E57" s="17"/>
      <c r="F57" s="2"/>
      <c r="G57" s="2"/>
      <c r="H57" s="2"/>
    </row>
    <row r="58" spans="4:8" ht="12.75">
      <c r="D58" s="2"/>
      <c r="E58" s="17"/>
      <c r="F58" s="1"/>
      <c r="G58" s="1"/>
      <c r="H58" s="1"/>
    </row>
    <row r="59" spans="4:8" ht="12.75">
      <c r="D59" s="2"/>
      <c r="E59" s="1"/>
      <c r="F59" s="1"/>
      <c r="G59" s="1"/>
      <c r="H59" s="1"/>
    </row>
    <row r="60" spans="4:8" ht="12.75">
      <c r="D60" s="2"/>
      <c r="E60" s="2"/>
      <c r="F60" s="2"/>
      <c r="G60" s="2"/>
      <c r="H60" s="2"/>
    </row>
    <row r="61" spans="4:8" ht="12.75">
      <c r="D61" s="2"/>
      <c r="E61" s="1"/>
      <c r="F61" s="1"/>
      <c r="G61" s="1"/>
      <c r="H61" s="1"/>
    </row>
    <row r="62" spans="4:8" ht="12.75">
      <c r="D62" s="2"/>
      <c r="E62" s="2"/>
      <c r="F62" s="2"/>
      <c r="G62" s="2"/>
      <c r="H62" s="2"/>
    </row>
    <row r="63" spans="4:8" ht="12.75">
      <c r="D63" s="2"/>
      <c r="E63" s="2"/>
      <c r="F63" s="2"/>
      <c r="G63" s="2"/>
      <c r="H63" s="2"/>
    </row>
  </sheetData>
  <sheetProtection/>
  <mergeCells count="12">
    <mergeCell ref="A5:H5"/>
    <mergeCell ref="H8:H9"/>
    <mergeCell ref="A7:A9"/>
    <mergeCell ref="B7:B9"/>
    <mergeCell ref="C1:H1"/>
    <mergeCell ref="C2:H2"/>
    <mergeCell ref="E3:H3"/>
    <mergeCell ref="C7:C9"/>
    <mergeCell ref="D7:D9"/>
    <mergeCell ref="E7:E9"/>
    <mergeCell ref="F7:G7"/>
    <mergeCell ref="F8:G8"/>
  </mergeCells>
  <printOptions/>
  <pageMargins left="0.1968503937007874" right="0" top="0.5511811023622047" bottom="0.31496062992125984"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123"/>
  <sheetViews>
    <sheetView zoomScalePageLayoutView="0" workbookViewId="0" topLeftCell="A1">
      <selection activeCell="L65" sqref="L65"/>
    </sheetView>
  </sheetViews>
  <sheetFormatPr defaultColWidth="9.140625" defaultRowHeight="12.75"/>
  <cols>
    <col min="1" max="1" width="5.7109375" style="2" customWidth="1"/>
    <col min="2" max="2" width="4.28125" style="2" customWidth="1"/>
    <col min="3" max="3" width="45.7109375" style="2" customWidth="1"/>
    <col min="4" max="4" width="10.140625" style="6" customWidth="1"/>
    <col min="5" max="5" width="8.7109375" style="6" customWidth="1"/>
    <col min="6" max="6" width="8.8515625" style="6" customWidth="1"/>
    <col min="7" max="7" width="8.421875" style="6" customWidth="1"/>
    <col min="8" max="8" width="8.140625" style="6" customWidth="1"/>
    <col min="9" max="13" width="9.140625" style="2" customWidth="1"/>
    <col min="14" max="14" width="36.57421875" style="2" customWidth="1"/>
    <col min="15" max="16384" width="9.140625" style="2" customWidth="1"/>
  </cols>
  <sheetData>
    <row r="1" spans="3:8" ht="15.75">
      <c r="C1" s="291" t="s">
        <v>333</v>
      </c>
      <c r="D1" s="291"/>
      <c r="E1" s="291"/>
      <c r="F1" s="291"/>
      <c r="G1" s="291"/>
      <c r="H1" s="291"/>
    </row>
    <row r="2" spans="3:8" ht="15.75">
      <c r="C2" s="291" t="s">
        <v>918</v>
      </c>
      <c r="D2" s="291"/>
      <c r="E2" s="291"/>
      <c r="F2" s="291"/>
      <c r="G2" s="291"/>
      <c r="H2" s="291"/>
    </row>
    <row r="3" spans="5:8" ht="15.75">
      <c r="E3" s="31"/>
      <c r="F3" s="31"/>
      <c r="G3" s="297" t="s">
        <v>331</v>
      </c>
      <c r="H3" s="297"/>
    </row>
    <row r="4" spans="5:8" ht="15.75">
      <c r="E4" s="31"/>
      <c r="F4" s="31"/>
      <c r="G4" s="31"/>
      <c r="H4" s="31"/>
    </row>
    <row r="5" spans="1:8" ht="28.5" customHeight="1">
      <c r="A5" s="313" t="s">
        <v>587</v>
      </c>
      <c r="B5" s="313"/>
      <c r="C5" s="313"/>
      <c r="D5" s="313"/>
      <c r="E5" s="313"/>
      <c r="F5" s="313"/>
      <c r="G5" s="313"/>
      <c r="H5" s="313"/>
    </row>
    <row r="6" ht="12.75">
      <c r="H6" s="6" t="s">
        <v>396</v>
      </c>
    </row>
    <row r="7" spans="1:8" ht="12.75" customHeight="1">
      <c r="A7" s="300" t="s">
        <v>0</v>
      </c>
      <c r="B7" s="300" t="s">
        <v>32</v>
      </c>
      <c r="C7" s="314" t="s">
        <v>16</v>
      </c>
      <c r="D7" s="316" t="s">
        <v>131</v>
      </c>
      <c r="E7" s="300" t="s">
        <v>17</v>
      </c>
      <c r="F7" s="300" t="s">
        <v>18</v>
      </c>
      <c r="G7" s="300"/>
      <c r="H7" s="300"/>
    </row>
    <row r="8" spans="1:8" ht="12.75" customHeight="1">
      <c r="A8" s="300"/>
      <c r="B8" s="300"/>
      <c r="C8" s="315"/>
      <c r="D8" s="317"/>
      <c r="E8" s="300"/>
      <c r="F8" s="300" t="s">
        <v>190</v>
      </c>
      <c r="G8" s="300"/>
      <c r="H8" s="300" t="s">
        <v>33</v>
      </c>
    </row>
    <row r="9" spans="1:8" ht="49.5" customHeight="1">
      <c r="A9" s="300"/>
      <c r="B9" s="300"/>
      <c r="C9" s="315"/>
      <c r="D9" s="317"/>
      <c r="E9" s="316"/>
      <c r="F9" s="55" t="s">
        <v>34</v>
      </c>
      <c r="G9" s="7" t="s">
        <v>35</v>
      </c>
      <c r="H9" s="300"/>
    </row>
    <row r="10" spans="1:8" ht="12.75">
      <c r="A10" s="7">
        <v>1</v>
      </c>
      <c r="B10" s="7">
        <v>2</v>
      </c>
      <c r="C10" s="56">
        <v>3</v>
      </c>
      <c r="D10" s="68">
        <v>4</v>
      </c>
      <c r="E10" s="7">
        <v>5</v>
      </c>
      <c r="F10" s="7">
        <v>6</v>
      </c>
      <c r="G10" s="56">
        <v>7</v>
      </c>
      <c r="H10" s="7">
        <v>8</v>
      </c>
    </row>
    <row r="11" spans="1:12" ht="12.75">
      <c r="A11" s="69">
        <v>1</v>
      </c>
      <c r="B11" s="7"/>
      <c r="C11" s="56" t="s">
        <v>321</v>
      </c>
      <c r="D11" s="68"/>
      <c r="E11" s="139">
        <f>+F11+H11</f>
        <v>1002.4</v>
      </c>
      <c r="F11" s="139">
        <f>+F12+F19+F42+F23+F29+F34+F36</f>
        <v>280.4</v>
      </c>
      <c r="G11" s="139">
        <f>+G12+G19+G42+G23+G29+G34+G36</f>
        <v>0</v>
      </c>
      <c r="H11" s="139">
        <f>+H12+H19+H42+H23+H29+H34+H36</f>
        <v>722</v>
      </c>
      <c r="I11" s="1"/>
      <c r="J11" s="1"/>
      <c r="K11" s="1"/>
      <c r="L11" s="1"/>
    </row>
    <row r="12" spans="1:12" ht="12.75">
      <c r="A12" s="69">
        <v>2</v>
      </c>
      <c r="B12" s="8" t="s">
        <v>134</v>
      </c>
      <c r="C12" s="65" t="s">
        <v>135</v>
      </c>
      <c r="D12" s="68"/>
      <c r="E12" s="139">
        <f>+F12+H12</f>
        <v>220</v>
      </c>
      <c r="F12" s="139">
        <f>+F13</f>
        <v>0</v>
      </c>
      <c r="G12" s="139">
        <f>+G13</f>
        <v>0</v>
      </c>
      <c r="H12" s="139">
        <f>+H13</f>
        <v>220</v>
      </c>
      <c r="I12" s="1"/>
      <c r="J12" s="1"/>
      <c r="K12" s="1"/>
      <c r="L12" s="1"/>
    </row>
    <row r="13" spans="1:12" ht="12.75">
      <c r="A13" s="69">
        <v>3</v>
      </c>
      <c r="B13" s="8"/>
      <c r="C13" s="91" t="s">
        <v>141</v>
      </c>
      <c r="D13" s="68"/>
      <c r="E13" s="277">
        <f>+F13+H13</f>
        <v>220</v>
      </c>
      <c r="F13" s="277">
        <f>+F15</f>
        <v>0</v>
      </c>
      <c r="G13" s="277">
        <f>+G15</f>
        <v>0</v>
      </c>
      <c r="H13" s="277">
        <f>+H15</f>
        <v>220</v>
      </c>
      <c r="I13" s="1"/>
      <c r="J13" s="1"/>
      <c r="K13" s="1"/>
      <c r="L13" s="1"/>
    </row>
    <row r="14" spans="1:12" ht="12.75">
      <c r="A14" s="69"/>
      <c r="B14" s="8"/>
      <c r="C14" s="52" t="s">
        <v>142</v>
      </c>
      <c r="D14" s="68"/>
      <c r="E14" s="278"/>
      <c r="F14" s="278"/>
      <c r="G14" s="278"/>
      <c r="H14" s="278"/>
      <c r="I14" s="1"/>
      <c r="J14" s="1"/>
      <c r="K14" s="1"/>
      <c r="L14" s="1"/>
    </row>
    <row r="15" spans="1:13" ht="38.25">
      <c r="A15" s="69" t="s">
        <v>793</v>
      </c>
      <c r="B15" s="7"/>
      <c r="C15" s="94" t="s">
        <v>478</v>
      </c>
      <c r="D15" s="68"/>
      <c r="E15" s="277">
        <f>+F15+H15</f>
        <v>220</v>
      </c>
      <c r="F15" s="278">
        <f>+F16+F17+F18</f>
        <v>0</v>
      </c>
      <c r="G15" s="278">
        <f>+G16+G17+G18</f>
        <v>0</v>
      </c>
      <c r="H15" s="277">
        <f>+H16+H17+H18</f>
        <v>220</v>
      </c>
      <c r="I15" s="1"/>
      <c r="J15" s="1"/>
      <c r="K15" s="1"/>
      <c r="L15" s="1"/>
      <c r="M15" s="129"/>
    </row>
    <row r="16" spans="1:14" ht="31.5" customHeight="1">
      <c r="A16" s="69" t="s">
        <v>797</v>
      </c>
      <c r="B16" s="7"/>
      <c r="C16" s="94" t="s">
        <v>606</v>
      </c>
      <c r="D16" s="10" t="s">
        <v>138</v>
      </c>
      <c r="E16" s="277">
        <f>+F16+H16</f>
        <v>60</v>
      </c>
      <c r="F16" s="277"/>
      <c r="G16" s="277"/>
      <c r="H16" s="277">
        <v>60</v>
      </c>
      <c r="I16" s="1"/>
      <c r="J16" s="1"/>
      <c r="K16" s="1"/>
      <c r="L16" s="1"/>
      <c r="N16" s="204"/>
    </row>
    <row r="17" spans="1:14" ht="30.75" customHeight="1">
      <c r="A17" s="69" t="s">
        <v>798</v>
      </c>
      <c r="B17" s="7"/>
      <c r="C17" s="94" t="s">
        <v>622</v>
      </c>
      <c r="D17" s="10" t="s">
        <v>138</v>
      </c>
      <c r="E17" s="277">
        <f>+F17+H17</f>
        <v>120</v>
      </c>
      <c r="F17" s="277"/>
      <c r="G17" s="277"/>
      <c r="H17" s="277">
        <v>120</v>
      </c>
      <c r="I17" s="1"/>
      <c r="J17" s="1"/>
      <c r="K17" s="1"/>
      <c r="L17" s="1"/>
      <c r="N17" s="204"/>
    </row>
    <row r="18" spans="1:14" ht="30.75" customHeight="1">
      <c r="A18" s="69" t="s">
        <v>624</v>
      </c>
      <c r="B18" s="7"/>
      <c r="C18" s="94" t="s">
        <v>625</v>
      </c>
      <c r="D18" s="10" t="s">
        <v>139</v>
      </c>
      <c r="E18" s="277">
        <f>+F18+H18</f>
        <v>40</v>
      </c>
      <c r="F18" s="277"/>
      <c r="G18" s="277"/>
      <c r="H18" s="277">
        <v>40</v>
      </c>
      <c r="I18" s="1"/>
      <c r="J18" s="1"/>
      <c r="K18" s="1"/>
      <c r="L18" s="1"/>
      <c r="N18" s="204"/>
    </row>
    <row r="19" spans="1:12" ht="12.75">
      <c r="A19" s="69">
        <v>4</v>
      </c>
      <c r="B19" s="8" t="s">
        <v>145</v>
      </c>
      <c r="C19" s="11" t="s">
        <v>146</v>
      </c>
      <c r="D19" s="68"/>
      <c r="E19" s="139">
        <f>+E20</f>
        <v>2</v>
      </c>
      <c r="F19" s="139">
        <f>+F20</f>
        <v>2</v>
      </c>
      <c r="G19" s="139">
        <f>+G20</f>
        <v>0</v>
      </c>
      <c r="H19" s="139">
        <f>+H20</f>
        <v>0</v>
      </c>
      <c r="I19" s="1"/>
      <c r="J19" s="1"/>
      <c r="K19" s="1"/>
      <c r="L19" s="1"/>
    </row>
    <row r="20" spans="1:12" ht="12.75">
      <c r="A20" s="69">
        <v>5</v>
      </c>
      <c r="B20" s="7"/>
      <c r="C20" s="91" t="s">
        <v>141</v>
      </c>
      <c r="D20" s="68"/>
      <c r="E20" s="277">
        <f>+E22</f>
        <v>2</v>
      </c>
      <c r="F20" s="277">
        <f>+F22</f>
        <v>2</v>
      </c>
      <c r="G20" s="277">
        <f>+G22</f>
        <v>0</v>
      </c>
      <c r="H20" s="277">
        <f>+H22</f>
        <v>0</v>
      </c>
      <c r="I20" s="1"/>
      <c r="J20" s="1"/>
      <c r="K20" s="1"/>
      <c r="L20" s="1"/>
    </row>
    <row r="21" spans="1:12" ht="12.75">
      <c r="A21" s="69"/>
      <c r="B21" s="7"/>
      <c r="C21" s="48" t="s">
        <v>142</v>
      </c>
      <c r="D21" s="68"/>
      <c r="E21" s="279"/>
      <c r="F21" s="279"/>
      <c r="G21" s="279"/>
      <c r="H21" s="279"/>
      <c r="I21" s="1"/>
      <c r="J21" s="1"/>
      <c r="K21" s="1"/>
      <c r="L21" s="1"/>
    </row>
    <row r="22" spans="1:12" ht="25.5">
      <c r="A22" s="141" t="s">
        <v>794</v>
      </c>
      <c r="B22" s="7"/>
      <c r="C22" s="47" t="s">
        <v>382</v>
      </c>
      <c r="D22" s="12" t="s">
        <v>151</v>
      </c>
      <c r="E22" s="277">
        <f aca="true" t="shared" si="0" ref="E22:E41">+F22+H22</f>
        <v>2</v>
      </c>
      <c r="F22" s="277">
        <v>2</v>
      </c>
      <c r="G22" s="277"/>
      <c r="H22" s="277"/>
      <c r="I22" s="1"/>
      <c r="J22" s="1"/>
      <c r="K22" s="1"/>
      <c r="L22" s="1"/>
    </row>
    <row r="23" spans="1:12" ht="12.75">
      <c r="A23" s="69">
        <v>6</v>
      </c>
      <c r="B23" s="8" t="s">
        <v>23</v>
      </c>
      <c r="C23" s="11" t="s">
        <v>24</v>
      </c>
      <c r="D23" s="12"/>
      <c r="E23" s="139">
        <f>+F23+H23</f>
        <v>242.4</v>
      </c>
      <c r="F23" s="139">
        <f>+F24</f>
        <v>0</v>
      </c>
      <c r="G23" s="139">
        <f>+G24</f>
        <v>0</v>
      </c>
      <c r="H23" s="139">
        <f>+H24</f>
        <v>242.4</v>
      </c>
      <c r="I23" s="1"/>
      <c r="J23" s="1"/>
      <c r="K23" s="1"/>
      <c r="L23" s="1"/>
    </row>
    <row r="24" spans="1:12" ht="12.75">
      <c r="A24" s="69">
        <v>7</v>
      </c>
      <c r="B24" s="10"/>
      <c r="C24" s="91" t="s">
        <v>141</v>
      </c>
      <c r="D24" s="12"/>
      <c r="E24" s="277">
        <f>+F24+H24</f>
        <v>242.4</v>
      </c>
      <c r="F24" s="277">
        <f>+F26</f>
        <v>0</v>
      </c>
      <c r="G24" s="277">
        <f>+G26</f>
        <v>0</v>
      </c>
      <c r="H24" s="277">
        <f>+H26</f>
        <v>242.4</v>
      </c>
      <c r="I24" s="1"/>
      <c r="J24" s="1"/>
      <c r="K24" s="1"/>
      <c r="L24" s="1"/>
    </row>
    <row r="25" spans="1:12" ht="12.75">
      <c r="A25" s="69"/>
      <c r="B25" s="10"/>
      <c r="C25" s="52" t="s">
        <v>142</v>
      </c>
      <c r="D25" s="12"/>
      <c r="E25" s="277">
        <f t="shared" si="0"/>
        <v>0</v>
      </c>
      <c r="F25" s="277"/>
      <c r="G25" s="277"/>
      <c r="H25" s="277"/>
      <c r="I25" s="1"/>
      <c r="J25" s="1"/>
      <c r="K25" s="1"/>
      <c r="L25" s="1"/>
    </row>
    <row r="26" spans="1:12" ht="38.25">
      <c r="A26" s="141" t="s">
        <v>799</v>
      </c>
      <c r="B26" s="10"/>
      <c r="C26" s="94" t="s">
        <v>478</v>
      </c>
      <c r="D26" s="12"/>
      <c r="E26" s="277">
        <f>+F26+H26</f>
        <v>242.4</v>
      </c>
      <c r="F26" s="277">
        <f>+F27+F28</f>
        <v>0</v>
      </c>
      <c r="G26" s="277">
        <f>+G27+G28</f>
        <v>0</v>
      </c>
      <c r="H26" s="277">
        <f>+H27+H28</f>
        <v>242.4</v>
      </c>
      <c r="I26" s="1"/>
      <c r="J26" s="1"/>
      <c r="K26" s="1"/>
      <c r="L26" s="1"/>
    </row>
    <row r="27" spans="1:12" ht="12.75">
      <c r="A27" s="141" t="s">
        <v>800</v>
      </c>
      <c r="B27" s="10"/>
      <c r="C27" s="94" t="s">
        <v>388</v>
      </c>
      <c r="D27" s="12" t="s">
        <v>172</v>
      </c>
      <c r="E27" s="277">
        <f t="shared" si="0"/>
        <v>122.4</v>
      </c>
      <c r="F27" s="277"/>
      <c r="G27" s="277"/>
      <c r="H27" s="277">
        <v>122.4</v>
      </c>
      <c r="I27" s="1"/>
      <c r="J27" s="1"/>
      <c r="K27" s="1"/>
      <c r="L27" s="1"/>
    </row>
    <row r="28" spans="1:12" ht="25.5">
      <c r="A28" s="141" t="s">
        <v>801</v>
      </c>
      <c r="B28" s="10"/>
      <c r="C28" s="94" t="s">
        <v>607</v>
      </c>
      <c r="D28" s="10" t="s">
        <v>153</v>
      </c>
      <c r="E28" s="277">
        <f t="shared" si="0"/>
        <v>120</v>
      </c>
      <c r="F28" s="277"/>
      <c r="G28" s="277"/>
      <c r="H28" s="277">
        <v>120</v>
      </c>
      <c r="I28" s="1"/>
      <c r="J28" s="1"/>
      <c r="K28" s="1"/>
      <c r="L28" s="1"/>
    </row>
    <row r="29" spans="1:12" ht="12.75">
      <c r="A29" s="141">
        <v>8</v>
      </c>
      <c r="B29" s="8" t="s">
        <v>159</v>
      </c>
      <c r="C29" s="11" t="s">
        <v>160</v>
      </c>
      <c r="D29" s="10"/>
      <c r="E29" s="139">
        <f>+F29+H29</f>
        <v>180</v>
      </c>
      <c r="F29" s="139">
        <f>+F30</f>
        <v>0</v>
      </c>
      <c r="G29" s="139">
        <f>+G30</f>
        <v>0</v>
      </c>
      <c r="H29" s="139">
        <f>+H30</f>
        <v>180</v>
      </c>
      <c r="I29" s="1"/>
      <c r="J29" s="1"/>
      <c r="K29" s="1"/>
      <c r="L29" s="1"/>
    </row>
    <row r="30" spans="1:12" ht="12.75">
      <c r="A30" s="141">
        <v>9</v>
      </c>
      <c r="B30" s="10"/>
      <c r="C30" s="43" t="s">
        <v>307</v>
      </c>
      <c r="D30" s="10"/>
      <c r="E30" s="277">
        <f>+F30+H30</f>
        <v>180</v>
      </c>
      <c r="F30" s="277">
        <f>+F32</f>
        <v>0</v>
      </c>
      <c r="G30" s="277">
        <f>+G32</f>
        <v>0</v>
      </c>
      <c r="H30" s="277">
        <f>+H32</f>
        <v>180</v>
      </c>
      <c r="I30" s="1"/>
      <c r="J30" s="1"/>
      <c r="K30" s="1"/>
      <c r="L30" s="1"/>
    </row>
    <row r="31" spans="1:12" ht="12.75">
      <c r="A31" s="141"/>
      <c r="B31" s="10"/>
      <c r="C31" s="43" t="s">
        <v>154</v>
      </c>
      <c r="D31" s="10"/>
      <c r="E31" s="277"/>
      <c r="F31" s="277"/>
      <c r="G31" s="277"/>
      <c r="H31" s="277"/>
      <c r="I31" s="1"/>
      <c r="J31" s="1"/>
      <c r="K31" s="1"/>
      <c r="L31" s="1"/>
    </row>
    <row r="32" spans="1:12" ht="38.25">
      <c r="A32" s="141" t="s">
        <v>802</v>
      </c>
      <c r="B32" s="10"/>
      <c r="C32" s="94" t="s">
        <v>478</v>
      </c>
      <c r="D32" s="10"/>
      <c r="E32" s="277">
        <f>+F32+H32</f>
        <v>180</v>
      </c>
      <c r="F32" s="277">
        <f>+F33</f>
        <v>0</v>
      </c>
      <c r="G32" s="277">
        <f>+G33</f>
        <v>0</v>
      </c>
      <c r="H32" s="277">
        <f>+H33</f>
        <v>180</v>
      </c>
      <c r="I32" s="1"/>
      <c r="J32" s="1"/>
      <c r="K32" s="1"/>
      <c r="L32" s="1"/>
    </row>
    <row r="33" spans="1:12" ht="12.75">
      <c r="A33" s="141" t="s">
        <v>803</v>
      </c>
      <c r="B33" s="10"/>
      <c r="C33" s="43" t="s">
        <v>612</v>
      </c>
      <c r="D33" s="10" t="s">
        <v>161</v>
      </c>
      <c r="E33" s="277">
        <f>+F33+H33</f>
        <v>180</v>
      </c>
      <c r="F33" s="277"/>
      <c r="G33" s="277"/>
      <c r="H33" s="277">
        <v>180</v>
      </c>
      <c r="I33" s="1"/>
      <c r="J33" s="1"/>
      <c r="K33" s="1"/>
      <c r="L33" s="1"/>
    </row>
    <row r="34" spans="1:12" ht="25.5">
      <c r="A34" s="69">
        <v>10</v>
      </c>
      <c r="B34" s="8" t="s">
        <v>242</v>
      </c>
      <c r="C34" s="97" t="s">
        <v>243</v>
      </c>
      <c r="D34" s="12"/>
      <c r="E34" s="139">
        <f t="shared" si="0"/>
        <v>3</v>
      </c>
      <c r="F34" s="139">
        <f>+F35</f>
        <v>3</v>
      </c>
      <c r="G34" s="139">
        <f>+G35</f>
        <v>0</v>
      </c>
      <c r="H34" s="139">
        <f>+H35</f>
        <v>0</v>
      </c>
      <c r="I34" s="1"/>
      <c r="J34" s="1"/>
      <c r="K34" s="1"/>
      <c r="L34" s="1"/>
    </row>
    <row r="35" spans="1:12" ht="12.75">
      <c r="A35" s="69">
        <v>11</v>
      </c>
      <c r="B35" s="10"/>
      <c r="C35" s="91" t="s">
        <v>3</v>
      </c>
      <c r="D35" s="12" t="s">
        <v>317</v>
      </c>
      <c r="E35" s="277">
        <f t="shared" si="0"/>
        <v>3</v>
      </c>
      <c r="F35" s="277">
        <v>3</v>
      </c>
      <c r="G35" s="277"/>
      <c r="H35" s="277"/>
      <c r="I35" s="1"/>
      <c r="J35" s="1"/>
      <c r="K35" s="1"/>
      <c r="L35" s="1"/>
    </row>
    <row r="36" spans="1:12" ht="24">
      <c r="A36" s="69">
        <v>12</v>
      </c>
      <c r="B36" s="8" t="s">
        <v>168</v>
      </c>
      <c r="C36" s="114" t="s">
        <v>169</v>
      </c>
      <c r="D36" s="12"/>
      <c r="E36" s="139">
        <f t="shared" si="0"/>
        <v>141.1</v>
      </c>
      <c r="F36" s="139">
        <f>+F37</f>
        <v>61.5</v>
      </c>
      <c r="G36" s="139">
        <f>+G37</f>
        <v>0</v>
      </c>
      <c r="H36" s="139">
        <f>+H37</f>
        <v>79.6</v>
      </c>
      <c r="I36" s="1"/>
      <c r="J36" s="1"/>
      <c r="K36" s="1"/>
      <c r="L36" s="1"/>
    </row>
    <row r="37" spans="1:12" ht="12.75">
      <c r="A37" s="69">
        <v>13</v>
      </c>
      <c r="B37" s="10"/>
      <c r="C37" s="91" t="s">
        <v>141</v>
      </c>
      <c r="D37" s="12"/>
      <c r="E37" s="277">
        <f t="shared" si="0"/>
        <v>141.1</v>
      </c>
      <c r="F37" s="277">
        <f>+F39</f>
        <v>61.5</v>
      </c>
      <c r="G37" s="277">
        <f>+G39</f>
        <v>0</v>
      </c>
      <c r="H37" s="277">
        <f>+H39</f>
        <v>79.6</v>
      </c>
      <c r="I37" s="1"/>
      <c r="J37" s="1"/>
      <c r="K37" s="1"/>
      <c r="L37" s="1"/>
    </row>
    <row r="38" spans="1:12" ht="12.75">
      <c r="A38" s="69"/>
      <c r="B38" s="10"/>
      <c r="C38" s="52" t="s">
        <v>142</v>
      </c>
      <c r="D38" s="12"/>
      <c r="E38" s="277">
        <f t="shared" si="0"/>
        <v>0</v>
      </c>
      <c r="F38" s="277"/>
      <c r="G38" s="277"/>
      <c r="H38" s="277"/>
      <c r="I38" s="1"/>
      <c r="J38" s="1"/>
      <c r="K38" s="1"/>
      <c r="L38" s="1"/>
    </row>
    <row r="39" spans="1:12" ht="38.25">
      <c r="A39" s="141" t="s">
        <v>804</v>
      </c>
      <c r="B39" s="10"/>
      <c r="C39" s="94" t="s">
        <v>478</v>
      </c>
      <c r="D39" s="12"/>
      <c r="E39" s="277">
        <f>+F39+H39</f>
        <v>141.1</v>
      </c>
      <c r="F39" s="277">
        <f>+F40+F41</f>
        <v>61.5</v>
      </c>
      <c r="G39" s="277">
        <f>+G40</f>
        <v>0</v>
      </c>
      <c r="H39" s="277">
        <f>+H40</f>
        <v>79.6</v>
      </c>
      <c r="I39" s="1"/>
      <c r="J39" s="1"/>
      <c r="K39" s="1"/>
      <c r="L39" s="1"/>
    </row>
    <row r="40" spans="1:12" ht="28.5" customHeight="1">
      <c r="A40" s="141" t="s">
        <v>805</v>
      </c>
      <c r="B40" s="7"/>
      <c r="C40" s="47" t="s">
        <v>389</v>
      </c>
      <c r="D40" s="12" t="s">
        <v>391</v>
      </c>
      <c r="E40" s="277">
        <f t="shared" si="0"/>
        <v>119.6</v>
      </c>
      <c r="F40" s="277">
        <f>119.6-79.6</f>
        <v>40</v>
      </c>
      <c r="G40" s="277"/>
      <c r="H40" s="277">
        <v>79.6</v>
      </c>
      <c r="I40" s="1"/>
      <c r="J40" s="1"/>
      <c r="K40" s="1"/>
      <c r="L40" s="1"/>
    </row>
    <row r="41" spans="1:12" ht="25.5">
      <c r="A41" s="141" t="s">
        <v>806</v>
      </c>
      <c r="B41" s="7"/>
      <c r="C41" s="140" t="s">
        <v>368</v>
      </c>
      <c r="D41" s="12" t="s">
        <v>89</v>
      </c>
      <c r="E41" s="277">
        <f t="shared" si="0"/>
        <v>21.5</v>
      </c>
      <c r="F41" s="277">
        <v>21.5</v>
      </c>
      <c r="G41" s="277"/>
      <c r="H41" s="277"/>
      <c r="I41" s="1"/>
      <c r="J41" s="1"/>
      <c r="K41" s="1"/>
      <c r="L41" s="1"/>
    </row>
    <row r="42" spans="1:12" ht="24.75" customHeight="1">
      <c r="A42" s="70">
        <v>14</v>
      </c>
      <c r="B42" s="8" t="s">
        <v>173</v>
      </c>
      <c r="C42" s="11" t="s">
        <v>174</v>
      </c>
      <c r="D42" s="92"/>
      <c r="E42" s="136">
        <f>+F42+H42</f>
        <v>213.9</v>
      </c>
      <c r="F42" s="136">
        <f>+F43</f>
        <v>213.9</v>
      </c>
      <c r="G42" s="136">
        <f>+G43</f>
        <v>0</v>
      </c>
      <c r="H42" s="136">
        <f>+H43</f>
        <v>0</v>
      </c>
      <c r="I42" s="1"/>
      <c r="J42" s="1"/>
      <c r="K42" s="1"/>
      <c r="L42" s="1"/>
    </row>
    <row r="43" spans="1:12" ht="12.75" customHeight="1">
      <c r="A43" s="69">
        <v>15</v>
      </c>
      <c r="B43" s="18"/>
      <c r="C43" s="91" t="s">
        <v>141</v>
      </c>
      <c r="D43" s="10"/>
      <c r="E43" s="137">
        <f>+F43+H43</f>
        <v>213.9</v>
      </c>
      <c r="F43" s="137">
        <f>+F45+F46</f>
        <v>213.9</v>
      </c>
      <c r="G43" s="137">
        <f>+G45+G46</f>
        <v>0</v>
      </c>
      <c r="H43" s="137">
        <f>+H45+H46</f>
        <v>0</v>
      </c>
      <c r="I43" s="1"/>
      <c r="J43" s="1"/>
      <c r="K43" s="1"/>
      <c r="L43" s="1"/>
    </row>
    <row r="44" spans="1:12" ht="12.75" customHeight="1">
      <c r="A44" s="70"/>
      <c r="B44" s="18"/>
      <c r="C44" s="48" t="s">
        <v>142</v>
      </c>
      <c r="D44" s="10"/>
      <c r="E44" s="137"/>
      <c r="F44" s="137"/>
      <c r="G44" s="137"/>
      <c r="H44" s="137"/>
      <c r="I44" s="1"/>
      <c r="J44" s="1"/>
      <c r="K44" s="1"/>
      <c r="L44" s="1"/>
    </row>
    <row r="45" spans="1:12" ht="24.75" customHeight="1">
      <c r="A45" s="141" t="s">
        <v>807</v>
      </c>
      <c r="B45" s="18"/>
      <c r="C45" s="47" t="s">
        <v>382</v>
      </c>
      <c r="D45" s="151" t="s">
        <v>405</v>
      </c>
      <c r="E45" s="137">
        <f>+F45+H45</f>
        <v>38</v>
      </c>
      <c r="F45" s="137">
        <v>38</v>
      </c>
      <c r="G45" s="137"/>
      <c r="H45" s="137"/>
      <c r="I45" s="1"/>
      <c r="J45" s="1"/>
      <c r="K45" s="1"/>
      <c r="L45" s="1"/>
    </row>
    <row r="46" spans="1:12" ht="12.75" customHeight="1">
      <c r="A46" s="108" t="s">
        <v>808</v>
      </c>
      <c r="B46" s="18"/>
      <c r="C46" s="47" t="s">
        <v>179</v>
      </c>
      <c r="D46" s="151" t="s">
        <v>176</v>
      </c>
      <c r="E46" s="137">
        <f>+F46+H46</f>
        <v>175.9</v>
      </c>
      <c r="F46" s="137">
        <v>175.9</v>
      </c>
      <c r="G46" s="280"/>
      <c r="H46" s="280"/>
      <c r="I46" s="1"/>
      <c r="J46" s="1"/>
      <c r="K46" s="1"/>
      <c r="L46" s="1"/>
    </row>
    <row r="47" spans="1:12" ht="14.25">
      <c r="A47" s="69">
        <v>16</v>
      </c>
      <c r="B47" s="18"/>
      <c r="C47" s="92" t="s">
        <v>322</v>
      </c>
      <c r="D47" s="153"/>
      <c r="E47" s="281">
        <f>+E48+E68+E91</f>
        <v>79.1</v>
      </c>
      <c r="F47" s="281">
        <f>+F48+F68+F91</f>
        <v>64.1</v>
      </c>
      <c r="G47" s="282">
        <f>+G48+G68+G91</f>
        <v>0</v>
      </c>
      <c r="H47" s="281">
        <f>+H48+H68+H91</f>
        <v>15</v>
      </c>
      <c r="I47" s="1"/>
      <c r="J47" s="1"/>
      <c r="K47" s="1"/>
      <c r="L47" s="1"/>
    </row>
    <row r="48" spans="1:12" ht="12.75">
      <c r="A48" s="69">
        <v>17</v>
      </c>
      <c r="B48" s="18"/>
      <c r="C48" s="92" t="s">
        <v>323</v>
      </c>
      <c r="D48" s="105"/>
      <c r="E48" s="152">
        <f>+F48+H48</f>
        <v>28.3</v>
      </c>
      <c r="F48" s="152">
        <f>+F49+F58+F61</f>
        <v>13.3</v>
      </c>
      <c r="G48" s="152">
        <f>+G49+G58+G61</f>
        <v>0</v>
      </c>
      <c r="H48" s="152">
        <f>+H49+H58+H61</f>
        <v>15</v>
      </c>
      <c r="I48" s="1"/>
      <c r="J48" s="1"/>
      <c r="K48" s="1"/>
      <c r="L48" s="1"/>
    </row>
    <row r="49" spans="1:12" ht="12.75">
      <c r="A49" s="69">
        <v>18</v>
      </c>
      <c r="B49" s="8" t="s">
        <v>134</v>
      </c>
      <c r="C49" s="65" t="s">
        <v>135</v>
      </c>
      <c r="D49" s="92"/>
      <c r="E49" s="136">
        <f aca="true" t="shared" si="1" ref="E49:E67">+F49+H49</f>
        <v>5.999999999999999</v>
      </c>
      <c r="F49" s="136">
        <f>SUM(F50:F57)</f>
        <v>5.999999999999999</v>
      </c>
      <c r="G49" s="136">
        <f>SUM(G51:G56)</f>
        <v>0</v>
      </c>
      <c r="H49" s="136">
        <f>SUM(H51:H56)</f>
        <v>0</v>
      </c>
      <c r="I49" s="1"/>
      <c r="J49" s="1"/>
      <c r="K49" s="1"/>
      <c r="L49" s="1"/>
    </row>
    <row r="50" spans="1:12" ht="12.75">
      <c r="A50" s="69">
        <v>19</v>
      </c>
      <c r="B50" s="8"/>
      <c r="C50" s="49" t="s">
        <v>105</v>
      </c>
      <c r="D50" s="105" t="s">
        <v>137</v>
      </c>
      <c r="E50" s="137">
        <f t="shared" si="1"/>
        <v>0.2</v>
      </c>
      <c r="F50" s="135">
        <v>0.2</v>
      </c>
      <c r="G50" s="138"/>
      <c r="H50" s="138"/>
      <c r="I50" s="1"/>
      <c r="J50" s="1"/>
      <c r="K50" s="1"/>
      <c r="L50" s="1"/>
    </row>
    <row r="51" spans="1:12" ht="12.75">
      <c r="A51" s="69">
        <v>20</v>
      </c>
      <c r="B51" s="53"/>
      <c r="C51" s="20" t="s">
        <v>103</v>
      </c>
      <c r="D51" s="10" t="s">
        <v>136</v>
      </c>
      <c r="E51" s="137">
        <f t="shared" si="1"/>
        <v>0.2</v>
      </c>
      <c r="F51" s="135">
        <v>0.2</v>
      </c>
      <c r="G51" s="138"/>
      <c r="H51" s="138"/>
      <c r="I51" s="1"/>
      <c r="J51" s="1"/>
      <c r="K51" s="1"/>
      <c r="L51" s="1"/>
    </row>
    <row r="52" spans="1:12" ht="12.75">
      <c r="A52" s="69">
        <v>21</v>
      </c>
      <c r="B52" s="54"/>
      <c r="C52" s="20" t="s">
        <v>115</v>
      </c>
      <c r="D52" s="10" t="s">
        <v>138</v>
      </c>
      <c r="E52" s="137">
        <f>+F52+H52</f>
        <v>0.1</v>
      </c>
      <c r="F52" s="137">
        <v>0.1</v>
      </c>
      <c r="G52" s="137"/>
      <c r="H52" s="137"/>
      <c r="I52" s="1"/>
      <c r="J52" s="1"/>
      <c r="K52" s="1"/>
      <c r="L52" s="1"/>
    </row>
    <row r="53" spans="1:12" ht="12.75">
      <c r="A53" s="69">
        <v>22</v>
      </c>
      <c r="B53" s="54"/>
      <c r="C53" s="34" t="s">
        <v>416</v>
      </c>
      <c r="D53" s="10" t="s">
        <v>138</v>
      </c>
      <c r="E53" s="137">
        <f>+F53+H53</f>
        <v>0.1</v>
      </c>
      <c r="F53" s="137">
        <v>0.1</v>
      </c>
      <c r="G53" s="137"/>
      <c r="H53" s="137"/>
      <c r="I53" s="1"/>
      <c r="J53" s="1"/>
      <c r="K53" s="1"/>
      <c r="L53" s="1"/>
    </row>
    <row r="54" spans="1:12" ht="25.5">
      <c r="A54" s="69">
        <v>23</v>
      </c>
      <c r="B54" s="54"/>
      <c r="C54" s="19" t="s">
        <v>352</v>
      </c>
      <c r="D54" s="12" t="s">
        <v>191</v>
      </c>
      <c r="E54" s="137">
        <f>+F54+H54</f>
        <v>0.1</v>
      </c>
      <c r="F54" s="137">
        <v>0.1</v>
      </c>
      <c r="G54" s="137"/>
      <c r="H54" s="137"/>
      <c r="I54" s="1"/>
      <c r="J54" s="1"/>
      <c r="K54" s="1"/>
      <c r="L54" s="1"/>
    </row>
    <row r="55" spans="1:12" ht="12.75">
      <c r="A55" s="69">
        <v>24</v>
      </c>
      <c r="B55" s="54"/>
      <c r="C55" s="184" t="s">
        <v>116</v>
      </c>
      <c r="D55" s="10" t="s">
        <v>140</v>
      </c>
      <c r="E55" s="137">
        <f>+F55+H55</f>
        <v>0.1</v>
      </c>
      <c r="F55" s="137">
        <v>0.1</v>
      </c>
      <c r="G55" s="137"/>
      <c r="H55" s="137"/>
      <c r="I55" s="1"/>
      <c r="J55" s="1"/>
      <c r="K55" s="1"/>
      <c r="L55" s="1"/>
    </row>
    <row r="56" spans="1:12" ht="12.75">
      <c r="A56" s="69">
        <v>25</v>
      </c>
      <c r="B56" s="54"/>
      <c r="C56" s="20" t="s">
        <v>294</v>
      </c>
      <c r="D56" s="10" t="s">
        <v>140</v>
      </c>
      <c r="E56" s="137">
        <f t="shared" si="1"/>
        <v>5.1</v>
      </c>
      <c r="F56" s="137">
        <v>5.1</v>
      </c>
      <c r="G56" s="137"/>
      <c r="H56" s="137"/>
      <c r="I56" s="1"/>
      <c r="J56" s="1"/>
      <c r="K56" s="1"/>
      <c r="L56" s="1"/>
    </row>
    <row r="57" spans="1:12" ht="12.75">
      <c r="A57" s="69">
        <v>26</v>
      </c>
      <c r="B57" s="54"/>
      <c r="C57" s="101" t="s">
        <v>219</v>
      </c>
      <c r="D57" s="10" t="s">
        <v>220</v>
      </c>
      <c r="E57" s="137">
        <f t="shared" si="1"/>
        <v>0.1</v>
      </c>
      <c r="F57" s="137">
        <v>0.1</v>
      </c>
      <c r="G57" s="137"/>
      <c r="H57" s="137"/>
      <c r="I57" s="1"/>
      <c r="J57" s="1"/>
      <c r="K57" s="1"/>
      <c r="L57" s="1"/>
    </row>
    <row r="58" spans="1:12" ht="12.75">
      <c r="A58" s="69">
        <v>27</v>
      </c>
      <c r="B58" s="8" t="s">
        <v>162</v>
      </c>
      <c r="C58" s="11" t="s">
        <v>163</v>
      </c>
      <c r="D58" s="10"/>
      <c r="E58" s="136">
        <f t="shared" si="1"/>
        <v>0.7999999999999999</v>
      </c>
      <c r="F58" s="136">
        <f>SUM(F59:F60)</f>
        <v>0.7999999999999999</v>
      </c>
      <c r="G58" s="136">
        <f>SUM(G59:G60)</f>
        <v>0</v>
      </c>
      <c r="H58" s="136">
        <f>SUM(H59:H60)</f>
        <v>0</v>
      </c>
      <c r="I58" s="1"/>
      <c r="J58" s="1"/>
      <c r="K58" s="1"/>
      <c r="L58" s="1"/>
    </row>
    <row r="59" spans="1:12" ht="12.75">
      <c r="A59" s="69">
        <v>28</v>
      </c>
      <c r="B59" s="8"/>
      <c r="C59" s="185" t="s">
        <v>111</v>
      </c>
      <c r="D59" s="10" t="s">
        <v>164</v>
      </c>
      <c r="E59" s="137">
        <f>+F59+H59</f>
        <v>0.7</v>
      </c>
      <c r="F59" s="135">
        <v>0.7</v>
      </c>
      <c r="G59" s="135"/>
      <c r="H59" s="135"/>
      <c r="I59" s="1"/>
      <c r="J59" s="1"/>
      <c r="K59" s="1"/>
      <c r="L59" s="1"/>
    </row>
    <row r="60" spans="1:12" ht="12.75">
      <c r="A60" s="69">
        <v>29</v>
      </c>
      <c r="B60" s="8"/>
      <c r="C60" s="82" t="s">
        <v>119</v>
      </c>
      <c r="D60" s="10" t="s">
        <v>164</v>
      </c>
      <c r="E60" s="283">
        <f t="shared" si="1"/>
        <v>0.1</v>
      </c>
      <c r="F60" s="283">
        <v>0.1</v>
      </c>
      <c r="G60" s="136"/>
      <c r="H60" s="136"/>
      <c r="I60" s="1"/>
      <c r="J60" s="1"/>
      <c r="K60" s="1"/>
      <c r="L60" s="1"/>
    </row>
    <row r="61" spans="1:12" ht="12.75">
      <c r="A61" s="69">
        <v>30</v>
      </c>
      <c r="B61" s="8" t="s">
        <v>27</v>
      </c>
      <c r="C61" s="11" t="s">
        <v>28</v>
      </c>
      <c r="D61" s="10"/>
      <c r="E61" s="136">
        <f t="shared" si="1"/>
        <v>21.5</v>
      </c>
      <c r="F61" s="136">
        <f>SUM(F62:F67)</f>
        <v>6.500000000000002</v>
      </c>
      <c r="G61" s="136">
        <f>SUM(G62:G67)</f>
        <v>0</v>
      </c>
      <c r="H61" s="136">
        <f>SUM(H62:H67)</f>
        <v>15</v>
      </c>
      <c r="I61" s="1"/>
      <c r="J61" s="1"/>
      <c r="K61" s="1"/>
      <c r="L61" s="1"/>
    </row>
    <row r="62" spans="1:12" ht="12.75">
      <c r="A62" s="69">
        <v>31</v>
      </c>
      <c r="B62" s="8"/>
      <c r="C62" s="91" t="s">
        <v>3</v>
      </c>
      <c r="D62" s="33" t="s">
        <v>290</v>
      </c>
      <c r="E62" s="283">
        <f>+F62+H62</f>
        <v>17.1</v>
      </c>
      <c r="F62" s="269">
        <f>17.1-15</f>
        <v>2.1000000000000014</v>
      </c>
      <c r="G62" s="136"/>
      <c r="H62" s="269">
        <v>15</v>
      </c>
      <c r="I62" s="1"/>
      <c r="J62" s="1"/>
      <c r="K62" s="1"/>
      <c r="L62" s="1"/>
    </row>
    <row r="63" spans="1:12" ht="25.5">
      <c r="A63" s="69">
        <v>32</v>
      </c>
      <c r="B63" s="54"/>
      <c r="C63" s="81" t="s">
        <v>8</v>
      </c>
      <c r="D63" s="33" t="s">
        <v>290</v>
      </c>
      <c r="E63" s="283">
        <f>+F63+H63</f>
        <v>1.3</v>
      </c>
      <c r="F63" s="283">
        <v>1.3</v>
      </c>
      <c r="G63" s="283"/>
      <c r="H63" s="283"/>
      <c r="I63" s="1"/>
      <c r="J63" s="1"/>
      <c r="K63" s="1"/>
      <c r="L63" s="1"/>
    </row>
    <row r="64" spans="1:12" ht="25.5">
      <c r="A64" s="69">
        <v>33</v>
      </c>
      <c r="B64" s="54"/>
      <c r="C64" s="81" t="s">
        <v>7</v>
      </c>
      <c r="D64" s="33" t="s">
        <v>290</v>
      </c>
      <c r="E64" s="283">
        <f>+F64+H64</f>
        <v>1.5</v>
      </c>
      <c r="F64" s="283">
        <v>1.5</v>
      </c>
      <c r="G64" s="283"/>
      <c r="H64" s="283"/>
      <c r="I64" s="1"/>
      <c r="J64" s="1"/>
      <c r="K64" s="1"/>
      <c r="L64" s="1"/>
    </row>
    <row r="65" spans="1:12" ht="25.5">
      <c r="A65" s="69">
        <v>34</v>
      </c>
      <c r="B65" s="54"/>
      <c r="C65" s="13" t="s">
        <v>6</v>
      </c>
      <c r="D65" s="33" t="s">
        <v>290</v>
      </c>
      <c r="E65" s="283">
        <f>+F65+H65</f>
        <v>0.5</v>
      </c>
      <c r="F65" s="283">
        <v>0.5</v>
      </c>
      <c r="G65" s="283"/>
      <c r="H65" s="283"/>
      <c r="I65" s="1"/>
      <c r="J65" s="1"/>
      <c r="K65" s="1"/>
      <c r="L65" s="1"/>
    </row>
    <row r="66" spans="1:12" ht="25.5">
      <c r="A66" s="69">
        <v>35</v>
      </c>
      <c r="B66" s="54"/>
      <c r="C66" s="81" t="s">
        <v>9</v>
      </c>
      <c r="D66" s="33" t="s">
        <v>290</v>
      </c>
      <c r="E66" s="283">
        <f>+F66+H66</f>
        <v>0.2</v>
      </c>
      <c r="F66" s="283">
        <v>0.2</v>
      </c>
      <c r="G66" s="283"/>
      <c r="H66" s="283"/>
      <c r="I66" s="1"/>
      <c r="J66" s="1"/>
      <c r="K66" s="1"/>
      <c r="L66" s="1"/>
    </row>
    <row r="67" spans="1:12" ht="25.5">
      <c r="A67" s="69">
        <v>36</v>
      </c>
      <c r="B67" s="54"/>
      <c r="C67" s="81" t="s">
        <v>13</v>
      </c>
      <c r="D67" s="33" t="s">
        <v>290</v>
      </c>
      <c r="E67" s="283">
        <f t="shared" si="1"/>
        <v>0.9</v>
      </c>
      <c r="F67" s="283">
        <v>0.9</v>
      </c>
      <c r="G67" s="283"/>
      <c r="H67" s="283"/>
      <c r="I67" s="1"/>
      <c r="J67" s="1"/>
      <c r="K67" s="1"/>
      <c r="L67" s="1"/>
    </row>
    <row r="68" spans="1:12" ht="12.75">
      <c r="A68" s="69">
        <v>37</v>
      </c>
      <c r="B68" s="18"/>
      <c r="C68" s="39" t="s">
        <v>324</v>
      </c>
      <c r="D68" s="105"/>
      <c r="E68" s="152">
        <f>+F68+H68</f>
        <v>20.5</v>
      </c>
      <c r="F68" s="152">
        <f>+F69+F81+F83+F86+F89</f>
        <v>20.5</v>
      </c>
      <c r="G68" s="152">
        <f>+G69+G81+G83+G86</f>
        <v>0</v>
      </c>
      <c r="H68" s="152">
        <f>+H69+H81+H83+H86</f>
        <v>0</v>
      </c>
      <c r="I68" s="1"/>
      <c r="J68" s="1"/>
      <c r="K68" s="1"/>
      <c r="L68" s="1"/>
    </row>
    <row r="69" spans="1:12" ht="12.75">
      <c r="A69" s="69">
        <v>38</v>
      </c>
      <c r="B69" s="8" t="s">
        <v>134</v>
      </c>
      <c r="C69" s="65" t="s">
        <v>135</v>
      </c>
      <c r="D69" s="92"/>
      <c r="E69" s="136">
        <f>+F69+H69</f>
        <v>18.8</v>
      </c>
      <c r="F69" s="136">
        <f>SUM(F70:F80)</f>
        <v>18.8</v>
      </c>
      <c r="G69" s="136">
        <f>SUM(G70:G80)</f>
        <v>0</v>
      </c>
      <c r="H69" s="136">
        <f>SUM(H70:H80)</f>
        <v>0</v>
      </c>
      <c r="I69" s="1"/>
      <c r="J69" s="1"/>
      <c r="K69" s="1"/>
      <c r="L69" s="1"/>
    </row>
    <row r="70" spans="1:12" ht="12.75">
      <c r="A70" s="69">
        <v>39</v>
      </c>
      <c r="B70" s="18"/>
      <c r="C70" s="34" t="s">
        <v>115</v>
      </c>
      <c r="D70" s="10" t="s">
        <v>138</v>
      </c>
      <c r="E70" s="137">
        <f aca="true" t="shared" si="2" ref="E70:E113">+F70+H70</f>
        <v>0.1</v>
      </c>
      <c r="F70" s="137">
        <v>0.1</v>
      </c>
      <c r="G70" s="137"/>
      <c r="H70" s="137"/>
      <c r="I70" s="1"/>
      <c r="J70" s="1"/>
      <c r="K70" s="1"/>
      <c r="L70" s="1"/>
    </row>
    <row r="71" spans="1:12" ht="12.75">
      <c r="A71" s="69">
        <v>40</v>
      </c>
      <c r="B71" s="18"/>
      <c r="C71" s="34" t="s">
        <v>415</v>
      </c>
      <c r="D71" s="10" t="s">
        <v>138</v>
      </c>
      <c r="E71" s="137">
        <f t="shared" si="2"/>
        <v>0.8</v>
      </c>
      <c r="F71" s="137">
        <v>0.8</v>
      </c>
      <c r="G71" s="137"/>
      <c r="H71" s="137"/>
      <c r="I71" s="1"/>
      <c r="J71" s="1"/>
      <c r="K71" s="1"/>
      <c r="L71" s="1"/>
    </row>
    <row r="72" spans="1:12" ht="12.75">
      <c r="A72" s="69">
        <v>41</v>
      </c>
      <c r="B72" s="18"/>
      <c r="C72" s="34" t="s">
        <v>420</v>
      </c>
      <c r="D72" s="10" t="s">
        <v>138</v>
      </c>
      <c r="E72" s="137">
        <f t="shared" si="2"/>
        <v>0.6</v>
      </c>
      <c r="F72" s="137">
        <v>0.6</v>
      </c>
      <c r="G72" s="137"/>
      <c r="H72" s="137"/>
      <c r="I72" s="1"/>
      <c r="J72" s="1"/>
      <c r="K72" s="1"/>
      <c r="L72" s="1"/>
    </row>
    <row r="73" spans="1:12" ht="25.5">
      <c r="A73" s="69">
        <v>42</v>
      </c>
      <c r="B73" s="18"/>
      <c r="C73" s="19" t="s">
        <v>352</v>
      </c>
      <c r="D73" s="10" t="s">
        <v>138</v>
      </c>
      <c r="E73" s="137">
        <f t="shared" si="2"/>
        <v>0.7</v>
      </c>
      <c r="F73" s="137">
        <v>0.7</v>
      </c>
      <c r="G73" s="137"/>
      <c r="H73" s="137"/>
      <c r="I73" s="1"/>
      <c r="J73" s="1"/>
      <c r="K73" s="1"/>
      <c r="L73" s="1"/>
    </row>
    <row r="74" spans="1:12" ht="14.25" customHeight="1">
      <c r="A74" s="69">
        <v>43</v>
      </c>
      <c r="B74" s="18"/>
      <c r="C74" s="40" t="s">
        <v>354</v>
      </c>
      <c r="D74" s="12" t="s">
        <v>191</v>
      </c>
      <c r="E74" s="137">
        <f t="shared" si="2"/>
        <v>0.9</v>
      </c>
      <c r="F74" s="137">
        <v>0.9</v>
      </c>
      <c r="G74" s="137"/>
      <c r="H74" s="137"/>
      <c r="I74" s="1"/>
      <c r="J74" s="1"/>
      <c r="K74" s="1"/>
      <c r="L74" s="1"/>
    </row>
    <row r="75" spans="1:12" ht="14.25" customHeight="1">
      <c r="A75" s="69">
        <v>44</v>
      </c>
      <c r="B75" s="18"/>
      <c r="C75" s="40" t="s">
        <v>418</v>
      </c>
      <c r="D75" s="12" t="s">
        <v>191</v>
      </c>
      <c r="E75" s="137">
        <f t="shared" si="2"/>
        <v>0.2</v>
      </c>
      <c r="F75" s="137">
        <v>0.2</v>
      </c>
      <c r="G75" s="137"/>
      <c r="H75" s="137"/>
      <c r="I75" s="1"/>
      <c r="J75" s="1"/>
      <c r="K75" s="1"/>
      <c r="L75" s="1"/>
    </row>
    <row r="76" spans="1:12" ht="14.25" customHeight="1">
      <c r="A76" s="69">
        <v>45</v>
      </c>
      <c r="B76" s="18"/>
      <c r="C76" s="40" t="s">
        <v>109</v>
      </c>
      <c r="D76" s="12" t="s">
        <v>191</v>
      </c>
      <c r="E76" s="137">
        <f t="shared" si="2"/>
        <v>0.1</v>
      </c>
      <c r="F76" s="137">
        <v>0.1</v>
      </c>
      <c r="G76" s="137"/>
      <c r="H76" s="137"/>
      <c r="I76" s="1"/>
      <c r="J76" s="1"/>
      <c r="K76" s="1"/>
      <c r="L76" s="1"/>
    </row>
    <row r="77" spans="1:12" ht="14.25" customHeight="1">
      <c r="A77" s="69">
        <v>46</v>
      </c>
      <c r="B77" s="18"/>
      <c r="C77" s="40" t="s">
        <v>293</v>
      </c>
      <c r="D77" s="10" t="s">
        <v>138</v>
      </c>
      <c r="E77" s="137">
        <f t="shared" si="2"/>
        <v>2.2</v>
      </c>
      <c r="F77" s="137">
        <v>2.2</v>
      </c>
      <c r="G77" s="137"/>
      <c r="H77" s="137"/>
      <c r="I77" s="1"/>
      <c r="J77" s="1"/>
      <c r="K77" s="1"/>
      <c r="L77" s="1"/>
    </row>
    <row r="78" spans="1:12" ht="14.25" customHeight="1">
      <c r="A78" s="69">
        <v>47</v>
      </c>
      <c r="B78" s="18"/>
      <c r="C78" s="40" t="s">
        <v>116</v>
      </c>
      <c r="D78" s="12" t="s">
        <v>140</v>
      </c>
      <c r="E78" s="137">
        <f t="shared" si="2"/>
        <v>0.1</v>
      </c>
      <c r="F78" s="137">
        <v>0.1</v>
      </c>
      <c r="G78" s="137"/>
      <c r="H78" s="137"/>
      <c r="I78" s="1"/>
      <c r="J78" s="1"/>
      <c r="K78" s="1"/>
      <c r="L78" s="1"/>
    </row>
    <row r="79" spans="1:12" ht="15" customHeight="1">
      <c r="A79" s="69">
        <v>48</v>
      </c>
      <c r="B79" s="18"/>
      <c r="C79" s="34" t="s">
        <v>294</v>
      </c>
      <c r="D79" s="12" t="s">
        <v>140</v>
      </c>
      <c r="E79" s="137">
        <f t="shared" si="2"/>
        <v>9.4</v>
      </c>
      <c r="F79" s="137">
        <v>9.4</v>
      </c>
      <c r="G79" s="137"/>
      <c r="H79" s="137"/>
      <c r="I79" s="1"/>
      <c r="J79" s="1"/>
      <c r="K79" s="1"/>
      <c r="L79" s="1"/>
    </row>
    <row r="80" spans="1:12" ht="12.75">
      <c r="A80" s="69">
        <v>49</v>
      </c>
      <c r="B80" s="18"/>
      <c r="C80" s="20" t="s">
        <v>219</v>
      </c>
      <c r="D80" s="10" t="s">
        <v>220</v>
      </c>
      <c r="E80" s="137">
        <f t="shared" si="2"/>
        <v>3.7</v>
      </c>
      <c r="F80" s="137">
        <v>3.7</v>
      </c>
      <c r="G80" s="137"/>
      <c r="H80" s="137"/>
      <c r="I80" s="1"/>
      <c r="J80" s="1"/>
      <c r="K80" s="1"/>
      <c r="L80" s="1"/>
    </row>
    <row r="81" spans="1:12" ht="12.75">
      <c r="A81" s="69">
        <v>50</v>
      </c>
      <c r="B81" s="8" t="s">
        <v>145</v>
      </c>
      <c r="C81" s="11" t="s">
        <v>146</v>
      </c>
      <c r="D81" s="10"/>
      <c r="E81" s="136">
        <f>+F81+H81</f>
        <v>0.4</v>
      </c>
      <c r="F81" s="152">
        <f>SUM(F82:F82)</f>
        <v>0.4</v>
      </c>
      <c r="G81" s="152">
        <f>SUM(G82:G82)</f>
        <v>0</v>
      </c>
      <c r="H81" s="152">
        <f>SUM(H82:H82)</f>
        <v>0</v>
      </c>
      <c r="I81" s="1"/>
      <c r="J81" s="1"/>
      <c r="K81" s="1"/>
      <c r="L81" s="1"/>
    </row>
    <row r="82" spans="1:12" ht="25.5">
      <c r="A82" s="69">
        <v>51</v>
      </c>
      <c r="B82" s="18"/>
      <c r="C82" s="50" t="s">
        <v>124</v>
      </c>
      <c r="D82" s="105" t="s">
        <v>147</v>
      </c>
      <c r="E82" s="137">
        <f t="shared" si="2"/>
        <v>0.4</v>
      </c>
      <c r="F82" s="137">
        <v>0.4</v>
      </c>
      <c r="G82" s="137"/>
      <c r="H82" s="137"/>
      <c r="I82" s="1"/>
      <c r="J82" s="1"/>
      <c r="K82" s="1"/>
      <c r="L82" s="1"/>
    </row>
    <row r="83" spans="1:12" ht="12.75">
      <c r="A83" s="69">
        <v>52</v>
      </c>
      <c r="B83" s="8" t="s">
        <v>162</v>
      </c>
      <c r="C83" s="11" t="s">
        <v>163</v>
      </c>
      <c r="D83" s="10"/>
      <c r="E83" s="136">
        <f t="shared" si="2"/>
        <v>0.9</v>
      </c>
      <c r="F83" s="136">
        <f>SUM(F84:F85)</f>
        <v>0.9</v>
      </c>
      <c r="G83" s="136">
        <f>SUM(G84:G84)</f>
        <v>0</v>
      </c>
      <c r="H83" s="136">
        <f>SUM(H84:H84)</f>
        <v>0</v>
      </c>
      <c r="I83" s="1"/>
      <c r="J83" s="1"/>
      <c r="K83" s="1"/>
      <c r="L83" s="1"/>
    </row>
    <row r="84" spans="1:12" ht="12.75">
      <c r="A84" s="69">
        <v>53</v>
      </c>
      <c r="B84" s="18"/>
      <c r="C84" s="93" t="s">
        <v>120</v>
      </c>
      <c r="D84" s="10" t="s">
        <v>164</v>
      </c>
      <c r="E84" s="137">
        <f t="shared" si="2"/>
        <v>0.8</v>
      </c>
      <c r="F84" s="137">
        <v>0.8</v>
      </c>
      <c r="G84" s="137"/>
      <c r="H84" s="137"/>
      <c r="I84" s="1"/>
      <c r="J84" s="1"/>
      <c r="K84" s="1"/>
      <c r="L84" s="1"/>
    </row>
    <row r="85" spans="1:12" ht="25.5">
      <c r="A85" s="69">
        <v>54</v>
      </c>
      <c r="B85" s="18"/>
      <c r="C85" s="81" t="s">
        <v>123</v>
      </c>
      <c r="D85" s="10" t="s">
        <v>165</v>
      </c>
      <c r="E85" s="137">
        <f t="shared" si="2"/>
        <v>0.1</v>
      </c>
      <c r="F85" s="137">
        <v>0.1</v>
      </c>
      <c r="G85" s="137"/>
      <c r="H85" s="137"/>
      <c r="I85" s="1"/>
      <c r="J85" s="1"/>
      <c r="K85" s="1"/>
      <c r="L85" s="1"/>
    </row>
    <row r="86" spans="1:12" ht="12.75">
      <c r="A86" s="69">
        <v>55</v>
      </c>
      <c r="B86" s="8" t="s">
        <v>173</v>
      </c>
      <c r="C86" s="11" t="s">
        <v>174</v>
      </c>
      <c r="D86" s="105"/>
      <c r="E86" s="136">
        <f t="shared" si="2"/>
        <v>0.30000000000000004</v>
      </c>
      <c r="F86" s="136">
        <f>SUM(F87:F88)</f>
        <v>0.30000000000000004</v>
      </c>
      <c r="G86" s="136">
        <f>SUM(G87:G87)</f>
        <v>0</v>
      </c>
      <c r="H86" s="136">
        <f>SUM(H87:H87)</f>
        <v>0</v>
      </c>
      <c r="I86" s="1"/>
      <c r="J86" s="1"/>
      <c r="K86" s="1"/>
      <c r="L86" s="1"/>
    </row>
    <row r="87" spans="1:12" ht="25.5">
      <c r="A87" s="69">
        <v>56</v>
      </c>
      <c r="B87" s="8"/>
      <c r="C87" s="51" t="s">
        <v>7</v>
      </c>
      <c r="D87" s="105" t="s">
        <v>192</v>
      </c>
      <c r="E87" s="137">
        <f t="shared" si="2"/>
        <v>0.2</v>
      </c>
      <c r="F87" s="283">
        <v>0.2</v>
      </c>
      <c r="G87" s="283"/>
      <c r="H87" s="283"/>
      <c r="I87" s="1"/>
      <c r="J87" s="1"/>
      <c r="K87" s="1"/>
      <c r="L87" s="1"/>
    </row>
    <row r="88" spans="1:12" ht="25.5">
      <c r="A88" s="69">
        <v>57</v>
      </c>
      <c r="B88" s="8"/>
      <c r="C88" s="13" t="s">
        <v>6</v>
      </c>
      <c r="D88" s="105" t="s">
        <v>176</v>
      </c>
      <c r="E88" s="137">
        <f t="shared" si="2"/>
        <v>0.1</v>
      </c>
      <c r="F88" s="283">
        <v>0.1</v>
      </c>
      <c r="G88" s="283"/>
      <c r="H88" s="283"/>
      <c r="I88" s="1"/>
      <c r="J88" s="1"/>
      <c r="K88" s="1"/>
      <c r="L88" s="1"/>
    </row>
    <row r="89" spans="1:12" ht="12.75">
      <c r="A89" s="69">
        <v>58</v>
      </c>
      <c r="B89" s="8" t="s">
        <v>27</v>
      </c>
      <c r="C89" s="11" t="s">
        <v>28</v>
      </c>
      <c r="D89" s="105"/>
      <c r="E89" s="136">
        <f>+F89+H89</f>
        <v>0.1</v>
      </c>
      <c r="F89" s="136">
        <f>SUM(F90)</f>
        <v>0.1</v>
      </c>
      <c r="G89" s="283"/>
      <c r="H89" s="283"/>
      <c r="I89" s="1"/>
      <c r="J89" s="1"/>
      <c r="K89" s="1"/>
      <c r="L89" s="1"/>
    </row>
    <row r="90" spans="1:12" ht="25.5">
      <c r="A90" s="69">
        <v>59</v>
      </c>
      <c r="B90" s="8"/>
      <c r="C90" s="81" t="s">
        <v>8</v>
      </c>
      <c r="D90" s="33" t="s">
        <v>290</v>
      </c>
      <c r="E90" s="137">
        <f>+F90</f>
        <v>0.1</v>
      </c>
      <c r="F90" s="283">
        <v>0.1</v>
      </c>
      <c r="G90" s="283"/>
      <c r="H90" s="283"/>
      <c r="I90" s="1"/>
      <c r="J90" s="1"/>
      <c r="K90" s="1"/>
      <c r="L90" s="1"/>
    </row>
    <row r="91" spans="1:12" ht="25.5">
      <c r="A91" s="69">
        <v>60</v>
      </c>
      <c r="B91" s="18"/>
      <c r="C91" s="24" t="s">
        <v>325</v>
      </c>
      <c r="D91" s="105"/>
      <c r="E91" s="152">
        <f t="shared" si="2"/>
        <v>30.3</v>
      </c>
      <c r="F91" s="152">
        <f>+F92+F109</f>
        <v>30.3</v>
      </c>
      <c r="G91" s="152">
        <f>+G92+G109</f>
        <v>0</v>
      </c>
      <c r="H91" s="152">
        <f>+H92+H109</f>
        <v>0</v>
      </c>
      <c r="I91" s="1"/>
      <c r="J91" s="1"/>
      <c r="K91" s="1"/>
      <c r="L91" s="1"/>
    </row>
    <row r="92" spans="1:12" ht="12.75">
      <c r="A92" s="69">
        <v>61</v>
      </c>
      <c r="B92" s="8" t="s">
        <v>134</v>
      </c>
      <c r="C92" s="66" t="s">
        <v>135</v>
      </c>
      <c r="D92" s="92"/>
      <c r="E92" s="136">
        <f t="shared" si="2"/>
        <v>8</v>
      </c>
      <c r="F92" s="136">
        <f>SUM(F93:F108)</f>
        <v>8</v>
      </c>
      <c r="G92" s="136">
        <f>SUM(G94:G107)</f>
        <v>0</v>
      </c>
      <c r="H92" s="136">
        <f>SUM(H94:H107)</f>
        <v>0</v>
      </c>
      <c r="I92" s="1"/>
      <c r="J92" s="1"/>
      <c r="K92" s="1"/>
      <c r="L92" s="1"/>
    </row>
    <row r="93" spans="1:12" ht="12.75">
      <c r="A93" s="69">
        <v>62</v>
      </c>
      <c r="B93" s="8"/>
      <c r="C93" s="40" t="s">
        <v>125</v>
      </c>
      <c r="D93" s="10" t="s">
        <v>136</v>
      </c>
      <c r="E93" s="137">
        <f t="shared" si="2"/>
        <v>0.2</v>
      </c>
      <c r="F93" s="137">
        <v>0.2</v>
      </c>
      <c r="G93" s="136"/>
      <c r="H93" s="136"/>
      <c r="I93" s="1"/>
      <c r="J93" s="1"/>
      <c r="K93" s="1"/>
      <c r="L93" s="1"/>
    </row>
    <row r="94" spans="1:12" ht="12.75">
      <c r="A94" s="69">
        <v>63</v>
      </c>
      <c r="B94" s="18"/>
      <c r="C94" s="34" t="s">
        <v>911</v>
      </c>
      <c r="D94" s="10" t="s">
        <v>137</v>
      </c>
      <c r="E94" s="137">
        <f t="shared" si="2"/>
        <v>0.9</v>
      </c>
      <c r="F94" s="137">
        <v>0.9</v>
      </c>
      <c r="G94" s="137"/>
      <c r="H94" s="137"/>
      <c r="I94" s="1"/>
      <c r="J94" s="1"/>
      <c r="K94" s="1"/>
      <c r="L94" s="1"/>
    </row>
    <row r="95" spans="1:12" ht="12.75">
      <c r="A95" s="69">
        <v>64</v>
      </c>
      <c r="B95" s="18"/>
      <c r="C95" s="34" t="s">
        <v>103</v>
      </c>
      <c r="D95" s="10" t="s">
        <v>136</v>
      </c>
      <c r="E95" s="137">
        <f t="shared" si="2"/>
        <v>1.5</v>
      </c>
      <c r="F95" s="137">
        <v>1.5</v>
      </c>
      <c r="G95" s="137"/>
      <c r="H95" s="137"/>
      <c r="I95" s="1"/>
      <c r="J95" s="1"/>
      <c r="K95" s="1"/>
      <c r="L95" s="1"/>
    </row>
    <row r="96" spans="1:12" ht="12.75">
      <c r="A96" s="69">
        <v>65</v>
      </c>
      <c r="B96" s="18"/>
      <c r="C96" s="36" t="s">
        <v>114</v>
      </c>
      <c r="D96" s="10" t="s">
        <v>137</v>
      </c>
      <c r="E96" s="137">
        <f t="shared" si="2"/>
        <v>0.2</v>
      </c>
      <c r="F96" s="137">
        <v>0.2</v>
      </c>
      <c r="G96" s="137"/>
      <c r="H96" s="137"/>
      <c r="I96" s="1"/>
      <c r="J96" s="1"/>
      <c r="K96" s="1"/>
      <c r="L96" s="1"/>
    </row>
    <row r="97" spans="1:12" ht="12.75">
      <c r="A97" s="69">
        <v>66</v>
      </c>
      <c r="B97" s="18"/>
      <c r="C97" s="40" t="s">
        <v>115</v>
      </c>
      <c r="D97" s="10" t="s">
        <v>138</v>
      </c>
      <c r="E97" s="137">
        <f>+F97+H97</f>
        <v>0.2</v>
      </c>
      <c r="F97" s="283">
        <v>0.2</v>
      </c>
      <c r="G97" s="283"/>
      <c r="H97" s="283"/>
      <c r="I97" s="1"/>
      <c r="J97" s="1"/>
      <c r="K97" s="1"/>
      <c r="L97" s="1"/>
    </row>
    <row r="98" spans="1:12" ht="12.75">
      <c r="A98" s="69">
        <v>67</v>
      </c>
      <c r="B98" s="18"/>
      <c r="C98" s="36" t="s">
        <v>415</v>
      </c>
      <c r="D98" s="10" t="s">
        <v>138</v>
      </c>
      <c r="E98" s="137">
        <f>+F98+H98</f>
        <v>0.1</v>
      </c>
      <c r="F98" s="137">
        <v>0.1</v>
      </c>
      <c r="G98" s="137"/>
      <c r="H98" s="137"/>
      <c r="I98" s="1"/>
      <c r="J98" s="1"/>
      <c r="K98" s="1"/>
      <c r="L98" s="1"/>
    </row>
    <row r="99" spans="1:12" ht="12.75" customHeight="1">
      <c r="A99" s="69">
        <v>68</v>
      </c>
      <c r="B99" s="18"/>
      <c r="C99" s="40" t="s">
        <v>420</v>
      </c>
      <c r="D99" s="10" t="s">
        <v>138</v>
      </c>
      <c r="E99" s="137">
        <f t="shared" si="2"/>
        <v>0.4</v>
      </c>
      <c r="F99" s="137">
        <v>0.4</v>
      </c>
      <c r="G99" s="137"/>
      <c r="H99" s="137"/>
      <c r="I99" s="1"/>
      <c r="J99" s="1"/>
      <c r="K99" s="1"/>
      <c r="L99" s="1"/>
    </row>
    <row r="100" spans="1:12" ht="12.75">
      <c r="A100" s="69">
        <v>69</v>
      </c>
      <c r="B100" s="18"/>
      <c r="C100" s="40" t="s">
        <v>354</v>
      </c>
      <c r="D100" s="12" t="s">
        <v>191</v>
      </c>
      <c r="E100" s="137">
        <f t="shared" si="2"/>
        <v>0.3</v>
      </c>
      <c r="F100" s="137">
        <v>0.3</v>
      </c>
      <c r="G100" s="137"/>
      <c r="H100" s="137"/>
      <c r="I100" s="1"/>
      <c r="J100" s="1"/>
      <c r="K100" s="1"/>
      <c r="L100" s="1"/>
    </row>
    <row r="101" spans="1:12" ht="12.75">
      <c r="A101" s="69">
        <v>70</v>
      </c>
      <c r="B101" s="18"/>
      <c r="C101" s="36" t="s">
        <v>353</v>
      </c>
      <c r="D101" s="10" t="s">
        <v>139</v>
      </c>
      <c r="E101" s="137">
        <f t="shared" si="2"/>
        <v>0.4</v>
      </c>
      <c r="F101" s="137">
        <v>0.4</v>
      </c>
      <c r="G101" s="137"/>
      <c r="H101" s="137"/>
      <c r="I101" s="1"/>
      <c r="J101" s="1"/>
      <c r="K101" s="1"/>
      <c r="L101" s="1"/>
    </row>
    <row r="102" spans="1:12" ht="12.75">
      <c r="A102" s="69">
        <v>71</v>
      </c>
      <c r="B102" s="18"/>
      <c r="C102" s="19" t="s">
        <v>293</v>
      </c>
      <c r="D102" s="105" t="s">
        <v>140</v>
      </c>
      <c r="E102" s="137">
        <f t="shared" si="2"/>
        <v>0.2</v>
      </c>
      <c r="F102" s="283">
        <v>0.2</v>
      </c>
      <c r="G102" s="283"/>
      <c r="H102" s="283"/>
      <c r="I102" s="1"/>
      <c r="J102" s="1"/>
      <c r="K102" s="1"/>
      <c r="L102" s="1"/>
    </row>
    <row r="103" spans="1:12" ht="12.75">
      <c r="A103" s="69">
        <v>72</v>
      </c>
      <c r="B103" s="18"/>
      <c r="C103" s="40" t="s">
        <v>118</v>
      </c>
      <c r="D103" s="10" t="s">
        <v>139</v>
      </c>
      <c r="E103" s="137">
        <f t="shared" si="2"/>
        <v>0.1</v>
      </c>
      <c r="F103" s="283">
        <v>0.1</v>
      </c>
      <c r="G103" s="283"/>
      <c r="H103" s="283"/>
      <c r="I103" s="1"/>
      <c r="J103" s="1"/>
      <c r="K103" s="1"/>
      <c r="L103" s="1"/>
    </row>
    <row r="104" spans="1:12" ht="12.75">
      <c r="A104" s="69">
        <v>73</v>
      </c>
      <c r="B104" s="18"/>
      <c r="C104" s="57" t="s">
        <v>127</v>
      </c>
      <c r="D104" s="105" t="s">
        <v>140</v>
      </c>
      <c r="E104" s="137">
        <f t="shared" si="2"/>
        <v>1.5</v>
      </c>
      <c r="F104" s="283">
        <v>1.5</v>
      </c>
      <c r="G104" s="283"/>
      <c r="H104" s="283"/>
      <c r="I104" s="1"/>
      <c r="J104" s="1"/>
      <c r="K104" s="1"/>
      <c r="L104" s="1"/>
    </row>
    <row r="105" spans="1:12" ht="12.75">
      <c r="A105" s="69">
        <v>74</v>
      </c>
      <c r="B105" s="18"/>
      <c r="C105" s="57" t="s">
        <v>116</v>
      </c>
      <c r="D105" s="105" t="s">
        <v>140</v>
      </c>
      <c r="E105" s="137">
        <f t="shared" si="2"/>
        <v>0.9</v>
      </c>
      <c r="F105" s="283">
        <v>0.9</v>
      </c>
      <c r="G105" s="283"/>
      <c r="H105" s="283"/>
      <c r="I105" s="1"/>
      <c r="J105" s="1"/>
      <c r="K105" s="1"/>
      <c r="L105" s="1"/>
    </row>
    <row r="106" spans="1:12" ht="12.75">
      <c r="A106" s="69">
        <v>75</v>
      </c>
      <c r="B106" s="18"/>
      <c r="C106" s="57" t="s">
        <v>117</v>
      </c>
      <c r="D106" s="105" t="s">
        <v>140</v>
      </c>
      <c r="E106" s="137">
        <f t="shared" si="2"/>
        <v>0.9</v>
      </c>
      <c r="F106" s="283">
        <v>0.9</v>
      </c>
      <c r="G106" s="283"/>
      <c r="H106" s="283"/>
      <c r="I106" s="1"/>
      <c r="J106" s="1"/>
      <c r="K106" s="1"/>
      <c r="L106" s="1"/>
    </row>
    <row r="107" spans="1:12" ht="12.75" customHeight="1">
      <c r="A107" s="69">
        <v>76</v>
      </c>
      <c r="B107" s="18"/>
      <c r="C107" s="34" t="s">
        <v>294</v>
      </c>
      <c r="D107" s="105" t="s">
        <v>140</v>
      </c>
      <c r="E107" s="137">
        <f t="shared" si="2"/>
        <v>0</v>
      </c>
      <c r="F107" s="283"/>
      <c r="G107" s="283"/>
      <c r="H107" s="283"/>
      <c r="I107" s="1"/>
      <c r="J107" s="1"/>
      <c r="K107" s="1"/>
      <c r="L107" s="1"/>
    </row>
    <row r="108" spans="1:12" ht="12.75">
      <c r="A108" s="69">
        <v>77</v>
      </c>
      <c r="B108" s="18"/>
      <c r="C108" s="58" t="s">
        <v>15</v>
      </c>
      <c r="D108" s="10" t="s">
        <v>136</v>
      </c>
      <c r="E108" s="137">
        <f t="shared" si="2"/>
        <v>0.2</v>
      </c>
      <c r="F108" s="283">
        <v>0.2</v>
      </c>
      <c r="G108" s="283"/>
      <c r="H108" s="283"/>
      <c r="I108" s="1"/>
      <c r="J108" s="1"/>
      <c r="K108" s="1"/>
      <c r="L108" s="1"/>
    </row>
    <row r="109" spans="1:12" ht="12.75">
      <c r="A109" s="69">
        <v>78</v>
      </c>
      <c r="B109" s="8" t="s">
        <v>23</v>
      </c>
      <c r="C109" s="79" t="s">
        <v>24</v>
      </c>
      <c r="D109" s="105"/>
      <c r="E109" s="136">
        <f>+F109+H109</f>
        <v>22.3</v>
      </c>
      <c r="F109" s="136">
        <f>SUM(F110:F113)</f>
        <v>22.3</v>
      </c>
      <c r="G109" s="136">
        <f>SUM(G110:G112)</f>
        <v>0</v>
      </c>
      <c r="H109" s="136">
        <f>SUM(H110:H112)</f>
        <v>0</v>
      </c>
      <c r="I109" s="1"/>
      <c r="J109" s="1"/>
      <c r="K109" s="1"/>
      <c r="L109" s="1"/>
    </row>
    <row r="110" spans="1:12" ht="12.75" customHeight="1">
      <c r="A110" s="69">
        <v>79</v>
      </c>
      <c r="B110" s="18"/>
      <c r="C110" s="57" t="s">
        <v>2</v>
      </c>
      <c r="D110" s="105" t="s">
        <v>153</v>
      </c>
      <c r="E110" s="137">
        <f t="shared" si="2"/>
        <v>20.6</v>
      </c>
      <c r="F110" s="137">
        <v>20.6</v>
      </c>
      <c r="G110" s="137"/>
      <c r="H110" s="137"/>
      <c r="I110" s="1"/>
      <c r="J110" s="1"/>
      <c r="K110" s="1"/>
      <c r="L110" s="1"/>
    </row>
    <row r="111" spans="1:12" ht="12.75" customHeight="1">
      <c r="A111" s="69">
        <v>80</v>
      </c>
      <c r="B111" s="18"/>
      <c r="C111" s="58" t="s">
        <v>15</v>
      </c>
      <c r="D111" s="33" t="s">
        <v>153</v>
      </c>
      <c r="E111" s="135">
        <f>+F111+H111</f>
        <v>0.7</v>
      </c>
      <c r="F111" s="135">
        <v>0.7</v>
      </c>
      <c r="G111" s="135"/>
      <c r="H111" s="135"/>
      <c r="I111" s="1"/>
      <c r="J111" s="1"/>
      <c r="K111" s="1"/>
      <c r="L111" s="1"/>
    </row>
    <row r="112" spans="1:12" ht="12.75" customHeight="1">
      <c r="A112" s="69">
        <v>81</v>
      </c>
      <c r="B112" s="18"/>
      <c r="C112" s="58" t="s">
        <v>128</v>
      </c>
      <c r="D112" s="33" t="s">
        <v>153</v>
      </c>
      <c r="E112" s="135">
        <f t="shared" si="2"/>
        <v>0.6</v>
      </c>
      <c r="F112" s="135">
        <v>0.6</v>
      </c>
      <c r="G112" s="135"/>
      <c r="H112" s="135"/>
      <c r="I112" s="1"/>
      <c r="J112" s="1"/>
      <c r="K112" s="1"/>
      <c r="L112" s="1"/>
    </row>
    <row r="113" spans="1:12" ht="12.75" customHeight="1">
      <c r="A113" s="69">
        <v>82</v>
      </c>
      <c r="B113" s="18"/>
      <c r="C113" s="232" t="s">
        <v>877</v>
      </c>
      <c r="D113" s="33" t="s">
        <v>25</v>
      </c>
      <c r="E113" s="135">
        <f t="shared" si="2"/>
        <v>0.4</v>
      </c>
      <c r="F113" s="135">
        <v>0.4</v>
      </c>
      <c r="G113" s="135"/>
      <c r="H113" s="135"/>
      <c r="I113" s="1"/>
      <c r="J113" s="1"/>
      <c r="K113" s="1"/>
      <c r="L113" s="1"/>
    </row>
    <row r="114" spans="1:12" ht="12.75" customHeight="1">
      <c r="A114" s="69">
        <v>83</v>
      </c>
      <c r="B114" s="18"/>
      <c r="C114" s="190" t="s">
        <v>455</v>
      </c>
      <c r="D114" s="33"/>
      <c r="E114" s="136">
        <f>+F114+H114</f>
        <v>0.2</v>
      </c>
      <c r="F114" s="136">
        <f>+F115</f>
        <v>0.2</v>
      </c>
      <c r="G114" s="136">
        <f>+G115</f>
        <v>0.1</v>
      </c>
      <c r="H114" s="136">
        <f>+H115</f>
        <v>0</v>
      </c>
      <c r="I114" s="1"/>
      <c r="J114" s="1"/>
      <c r="K114" s="1"/>
      <c r="L114" s="1"/>
    </row>
    <row r="115" spans="1:12" ht="12.75" customHeight="1">
      <c r="A115" s="69">
        <v>84</v>
      </c>
      <c r="B115" s="8" t="s">
        <v>134</v>
      </c>
      <c r="C115" s="65" t="s">
        <v>135</v>
      </c>
      <c r="D115" s="33"/>
      <c r="E115" s="136">
        <f>+F115+H115</f>
        <v>0.2</v>
      </c>
      <c r="F115" s="136">
        <f>SUM(F116)</f>
        <v>0.2</v>
      </c>
      <c r="G115" s="136">
        <f>SUM(G116)</f>
        <v>0.1</v>
      </c>
      <c r="H115" s="136">
        <f>SUM(H116)</f>
        <v>0</v>
      </c>
      <c r="I115" s="1"/>
      <c r="J115" s="1"/>
      <c r="K115" s="1"/>
      <c r="L115" s="1"/>
    </row>
    <row r="116" spans="1:12" ht="12.75" customHeight="1">
      <c r="A116" s="69">
        <v>85</v>
      </c>
      <c r="B116" s="18"/>
      <c r="C116" s="91" t="s">
        <v>3</v>
      </c>
      <c r="D116" s="33" t="s">
        <v>140</v>
      </c>
      <c r="E116" s="135">
        <f>+F116+H116</f>
        <v>0.2</v>
      </c>
      <c r="F116" s="135">
        <v>0.2</v>
      </c>
      <c r="G116" s="135">
        <v>0.1</v>
      </c>
      <c r="H116" s="135"/>
      <c r="I116" s="1"/>
      <c r="J116" s="1"/>
      <c r="K116" s="1"/>
      <c r="L116" s="1"/>
    </row>
    <row r="117" spans="1:12" ht="12.75">
      <c r="A117" s="69">
        <v>86</v>
      </c>
      <c r="B117" s="18"/>
      <c r="C117" s="64" t="s">
        <v>22</v>
      </c>
      <c r="D117" s="105"/>
      <c r="E117" s="152">
        <f>+F117+H117</f>
        <v>1081.7</v>
      </c>
      <c r="F117" s="152">
        <f>+F11+F47+F114</f>
        <v>344.7</v>
      </c>
      <c r="G117" s="152">
        <f>+G11+G47+G114</f>
        <v>0.1</v>
      </c>
      <c r="H117" s="152">
        <f>+H11+H47+H114</f>
        <v>737</v>
      </c>
      <c r="I117" s="1"/>
      <c r="J117" s="1"/>
      <c r="K117" s="1"/>
      <c r="L117" s="1"/>
    </row>
    <row r="118" spans="5:6" ht="12.75">
      <c r="E118" s="169"/>
      <c r="F118" s="169"/>
    </row>
    <row r="119" spans="2:9" s="21" customFormat="1" ht="12.75">
      <c r="B119" s="27"/>
      <c r="C119" s="21" t="s">
        <v>296</v>
      </c>
      <c r="D119" s="28"/>
      <c r="E119" s="17"/>
      <c r="F119" s="17"/>
      <c r="G119" s="17"/>
      <c r="H119" s="17"/>
      <c r="I119" s="80"/>
    </row>
    <row r="120" spans="2:8" s="21" customFormat="1" ht="12.75">
      <c r="B120" s="27"/>
      <c r="C120" s="28"/>
      <c r="D120" s="29"/>
      <c r="E120" s="17"/>
      <c r="F120" s="16"/>
      <c r="G120" s="16"/>
      <c r="H120" s="16"/>
    </row>
    <row r="121" spans="5:8" ht="12.75">
      <c r="E121" s="17"/>
      <c r="F121" s="42"/>
      <c r="G121" s="42"/>
      <c r="H121" s="42"/>
    </row>
    <row r="122" spans="5:8" ht="12.75">
      <c r="E122" s="17"/>
      <c r="F122" s="42"/>
      <c r="G122" s="42"/>
      <c r="H122" s="42"/>
    </row>
    <row r="123" ht="12.75">
      <c r="E123" s="169"/>
    </row>
  </sheetData>
  <sheetProtection/>
  <mergeCells count="12">
    <mergeCell ref="H8:H9"/>
    <mergeCell ref="G3:H3"/>
    <mergeCell ref="A5:H5"/>
    <mergeCell ref="A7:A9"/>
    <mergeCell ref="B7:B9"/>
    <mergeCell ref="C7:C9"/>
    <mergeCell ref="C1:H1"/>
    <mergeCell ref="C2:H2"/>
    <mergeCell ref="D7:D9"/>
    <mergeCell ref="E7:E9"/>
    <mergeCell ref="F7:H7"/>
    <mergeCell ref="F8:G8"/>
  </mergeCells>
  <printOptions/>
  <pageMargins left="0.31496062992125984" right="0.07874015748031496" top="0.35433070866141736" bottom="0.1968503937007874"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46"/>
  <sheetViews>
    <sheetView zoomScalePageLayoutView="0" workbookViewId="0" topLeftCell="A1">
      <selection activeCell="K21" sqref="K21"/>
    </sheetView>
  </sheetViews>
  <sheetFormatPr defaultColWidth="9.140625" defaultRowHeight="12.75"/>
  <cols>
    <col min="1" max="1" width="4.7109375" style="2" customWidth="1"/>
    <col min="2" max="2" width="5.140625" style="59" customWidth="1"/>
    <col min="3" max="3" width="41.421875" style="59" customWidth="1"/>
    <col min="4" max="4" width="9.8515625" style="6" customWidth="1"/>
    <col min="5" max="6" width="9.421875" style="6" customWidth="1"/>
    <col min="7" max="7" width="9.00390625" style="6" customWidth="1"/>
    <col min="8" max="8" width="8.8515625" style="6" customWidth="1"/>
    <col min="9" max="16384" width="9.140625" style="2" customWidth="1"/>
  </cols>
  <sheetData>
    <row r="1" spans="3:8" ht="15.75">
      <c r="C1" s="291" t="s">
        <v>345</v>
      </c>
      <c r="D1" s="291"/>
      <c r="E1" s="291"/>
      <c r="F1" s="291"/>
      <c r="G1" s="291"/>
      <c r="H1" s="291"/>
    </row>
    <row r="2" spans="3:8" ht="15.75">
      <c r="C2" s="291" t="s">
        <v>941</v>
      </c>
      <c r="D2" s="291"/>
      <c r="E2" s="291"/>
      <c r="F2" s="291"/>
      <c r="G2" s="291"/>
      <c r="H2" s="291"/>
    </row>
    <row r="3" spans="5:8" ht="15.75">
      <c r="E3" s="297" t="s">
        <v>940</v>
      </c>
      <c r="F3" s="297"/>
      <c r="G3" s="297"/>
      <c r="H3" s="297"/>
    </row>
    <row r="4" spans="5:8" ht="15.75">
      <c r="E4" s="31"/>
      <c r="F4" s="31"/>
      <c r="G4" s="31"/>
      <c r="H4" s="31"/>
    </row>
    <row r="5" spans="1:8" ht="35.25" customHeight="1">
      <c r="A5" s="323" t="s">
        <v>601</v>
      </c>
      <c r="B5" s="323"/>
      <c r="C5" s="323"/>
      <c r="D5" s="323"/>
      <c r="E5" s="323"/>
      <c r="F5" s="323"/>
      <c r="G5" s="323"/>
      <c r="H5" s="323"/>
    </row>
    <row r="6" spans="1:8" ht="12.75">
      <c r="A6" s="32"/>
      <c r="B6" s="60"/>
      <c r="C6" s="60"/>
      <c r="D6" s="37"/>
      <c r="E6" s="37"/>
      <c r="F6" s="37"/>
      <c r="G6" s="37"/>
      <c r="H6" s="6" t="s">
        <v>396</v>
      </c>
    </row>
    <row r="7" spans="1:8" ht="12.75" customHeight="1">
      <c r="A7" s="300" t="s">
        <v>0</v>
      </c>
      <c r="B7" s="320" t="s">
        <v>32</v>
      </c>
      <c r="C7" s="310" t="s">
        <v>16</v>
      </c>
      <c r="D7" s="316" t="s">
        <v>131</v>
      </c>
      <c r="E7" s="300" t="s">
        <v>17</v>
      </c>
      <c r="F7" s="300" t="s">
        <v>199</v>
      </c>
      <c r="G7" s="300"/>
      <c r="H7" s="35"/>
    </row>
    <row r="8" spans="1:8" ht="12.75" customHeight="1">
      <c r="A8" s="301"/>
      <c r="B8" s="320"/>
      <c r="C8" s="310"/>
      <c r="D8" s="317"/>
      <c r="E8" s="300"/>
      <c r="F8" s="300" t="s">
        <v>19</v>
      </c>
      <c r="G8" s="300"/>
      <c r="H8" s="300" t="s">
        <v>33</v>
      </c>
    </row>
    <row r="9" spans="1:8" ht="39.75" customHeight="1">
      <c r="A9" s="301"/>
      <c r="B9" s="320"/>
      <c r="C9" s="310"/>
      <c r="D9" s="321"/>
      <c r="E9" s="300"/>
      <c r="F9" s="7" t="s">
        <v>34</v>
      </c>
      <c r="G9" s="7" t="s">
        <v>35</v>
      </c>
      <c r="H9" s="300"/>
    </row>
    <row r="10" spans="1:12" s="15" customFormat="1" ht="12.75" customHeight="1">
      <c r="A10" s="39">
        <v>1</v>
      </c>
      <c r="B10" s="9" t="s">
        <v>20</v>
      </c>
      <c r="C10" s="9" t="s">
        <v>200</v>
      </c>
      <c r="D10" s="7">
        <v>4</v>
      </c>
      <c r="E10" s="7">
        <v>5</v>
      </c>
      <c r="F10" s="7">
        <v>6</v>
      </c>
      <c r="G10" s="7">
        <v>7</v>
      </c>
      <c r="H10" s="39">
        <v>8</v>
      </c>
      <c r="I10" s="2"/>
      <c r="J10" s="2"/>
      <c r="K10" s="2"/>
      <c r="L10" s="2"/>
    </row>
    <row r="11" spans="1:12" s="15" customFormat="1" ht="19.5" customHeight="1">
      <c r="A11" s="70">
        <v>1</v>
      </c>
      <c r="B11" s="8" t="s">
        <v>134</v>
      </c>
      <c r="C11" s="65" t="s">
        <v>135</v>
      </c>
      <c r="D11" s="7"/>
      <c r="E11" s="197">
        <f aca="true" t="shared" si="0" ref="E11:E18">+F11+H11</f>
        <v>548.6</v>
      </c>
      <c r="F11" s="197">
        <f aca="true" t="shared" si="1" ref="F11:H12">+F12</f>
        <v>548.6</v>
      </c>
      <c r="G11" s="197">
        <f t="shared" si="1"/>
        <v>343</v>
      </c>
      <c r="H11" s="197">
        <f t="shared" si="1"/>
        <v>0</v>
      </c>
      <c r="I11" s="1"/>
      <c r="J11" s="1"/>
      <c r="K11" s="1"/>
      <c r="L11" s="1"/>
    </row>
    <row r="12" spans="1:12" s="15" customFormat="1" ht="27.75" customHeight="1">
      <c r="A12" s="70">
        <v>2</v>
      </c>
      <c r="B12" s="10"/>
      <c r="C12" s="174" t="s">
        <v>277</v>
      </c>
      <c r="D12" s="177"/>
      <c r="E12" s="199">
        <f t="shared" si="0"/>
        <v>548.6</v>
      </c>
      <c r="F12" s="199">
        <f t="shared" si="1"/>
        <v>548.6</v>
      </c>
      <c r="G12" s="199">
        <f t="shared" si="1"/>
        <v>343</v>
      </c>
      <c r="H12" s="199">
        <f t="shared" si="1"/>
        <v>0</v>
      </c>
      <c r="I12" s="1"/>
      <c r="J12" s="1"/>
      <c r="K12" s="1"/>
      <c r="L12" s="1"/>
    </row>
    <row r="13" spans="1:12" ht="18" customHeight="1">
      <c r="A13" s="70">
        <v>3</v>
      </c>
      <c r="B13" s="8"/>
      <c r="C13" s="40" t="s">
        <v>118</v>
      </c>
      <c r="D13" s="142" t="s">
        <v>139</v>
      </c>
      <c r="E13" s="198">
        <f t="shared" si="0"/>
        <v>548.6</v>
      </c>
      <c r="F13" s="198">
        <f>538.1+10.5</f>
        <v>548.6</v>
      </c>
      <c r="G13" s="198">
        <f>340+8-5</f>
        <v>343</v>
      </c>
      <c r="H13" s="198"/>
      <c r="I13" s="1"/>
      <c r="J13" s="1"/>
      <c r="K13" s="1"/>
      <c r="L13" s="1"/>
    </row>
    <row r="14" spans="1:12" ht="30.75" customHeight="1">
      <c r="A14" s="70">
        <v>4</v>
      </c>
      <c r="B14" s="8" t="s">
        <v>168</v>
      </c>
      <c r="C14" s="114" t="s">
        <v>169</v>
      </c>
      <c r="D14" s="142"/>
      <c r="E14" s="200">
        <f t="shared" si="0"/>
        <v>1681.2</v>
      </c>
      <c r="F14" s="200">
        <f aca="true" t="shared" si="2" ref="F14:H15">+F15</f>
        <v>796.7</v>
      </c>
      <c r="G14" s="200">
        <f t="shared" si="2"/>
        <v>0</v>
      </c>
      <c r="H14" s="200">
        <f t="shared" si="2"/>
        <v>884.5</v>
      </c>
      <c r="I14" s="1"/>
      <c r="J14" s="1"/>
      <c r="K14" s="1"/>
      <c r="L14" s="1"/>
    </row>
    <row r="15" spans="1:12" ht="41.25" customHeight="1">
      <c r="A15" s="70">
        <v>5</v>
      </c>
      <c r="B15" s="8"/>
      <c r="C15" s="26" t="s">
        <v>600</v>
      </c>
      <c r="D15" s="10"/>
      <c r="E15" s="199">
        <f t="shared" si="0"/>
        <v>1681.2</v>
      </c>
      <c r="F15" s="199">
        <f t="shared" si="2"/>
        <v>796.7</v>
      </c>
      <c r="G15" s="199">
        <f t="shared" si="2"/>
        <v>0</v>
      </c>
      <c r="H15" s="199">
        <f t="shared" si="2"/>
        <v>884.5</v>
      </c>
      <c r="I15" s="1"/>
      <c r="J15" s="1"/>
      <c r="K15" s="1"/>
      <c r="L15" s="1"/>
    </row>
    <row r="16" spans="1:12" ht="18" customHeight="1">
      <c r="A16" s="70">
        <v>6</v>
      </c>
      <c r="B16" s="8"/>
      <c r="C16" s="43" t="s">
        <v>3</v>
      </c>
      <c r="D16" s="165" t="s">
        <v>319</v>
      </c>
      <c r="E16" s="198">
        <f t="shared" si="0"/>
        <v>1681.2</v>
      </c>
      <c r="F16" s="198">
        <f>1681.2-884.5</f>
        <v>796.7</v>
      </c>
      <c r="G16" s="198"/>
      <c r="H16" s="198">
        <v>884.5</v>
      </c>
      <c r="I16" s="1"/>
      <c r="J16" s="1"/>
      <c r="K16" s="1"/>
      <c r="L16" s="1"/>
    </row>
    <row r="17" spans="1:12" ht="18" customHeight="1">
      <c r="A17" s="70">
        <v>7</v>
      </c>
      <c r="B17" s="8" t="s">
        <v>64</v>
      </c>
      <c r="C17" s="11" t="s">
        <v>65</v>
      </c>
      <c r="D17" s="142"/>
      <c r="E17" s="201">
        <f t="shared" si="0"/>
        <v>2.8</v>
      </c>
      <c r="F17" s="201">
        <f>+F18</f>
        <v>2.8</v>
      </c>
      <c r="G17" s="201">
        <f>+G18</f>
        <v>2.0000000000000004</v>
      </c>
      <c r="H17" s="201">
        <f>+H18</f>
        <v>0</v>
      </c>
      <c r="I17" s="1"/>
      <c r="J17" s="1"/>
      <c r="K17" s="1"/>
      <c r="L17" s="1"/>
    </row>
    <row r="18" spans="1:12" ht="54" customHeight="1">
      <c r="A18" s="70">
        <v>8</v>
      </c>
      <c r="B18" s="8"/>
      <c r="C18" s="104" t="s">
        <v>598</v>
      </c>
      <c r="D18" s="10"/>
      <c r="E18" s="199">
        <f t="shared" si="0"/>
        <v>2.8</v>
      </c>
      <c r="F18" s="199">
        <f>SUM(F20:F29)</f>
        <v>2.8</v>
      </c>
      <c r="G18" s="199">
        <f>SUM(G20:G29)</f>
        <v>2.0000000000000004</v>
      </c>
      <c r="H18" s="199">
        <f>SUM(H20:H29)</f>
        <v>0</v>
      </c>
      <c r="I18" s="1"/>
      <c r="J18" s="1"/>
      <c r="K18" s="1"/>
      <c r="L18" s="1"/>
    </row>
    <row r="19" spans="1:12" ht="15.75" customHeight="1">
      <c r="A19" s="70">
        <v>9</v>
      </c>
      <c r="B19" s="8"/>
      <c r="C19" s="104" t="s">
        <v>67</v>
      </c>
      <c r="D19" s="10" t="s">
        <v>357</v>
      </c>
      <c r="E19" s="199"/>
      <c r="F19" s="199"/>
      <c r="G19" s="199"/>
      <c r="H19" s="199"/>
      <c r="I19" s="1"/>
      <c r="J19" s="1"/>
      <c r="K19" s="1"/>
      <c r="L19" s="1"/>
    </row>
    <row r="20" spans="1:12" ht="27.75" customHeight="1">
      <c r="A20" s="70">
        <v>10</v>
      </c>
      <c r="B20" s="8"/>
      <c r="C20" s="81" t="s">
        <v>4</v>
      </c>
      <c r="D20" s="10"/>
      <c r="E20" s="198">
        <f>+F20+H20</f>
        <v>0.3</v>
      </c>
      <c r="F20" s="198">
        <v>0.3</v>
      </c>
      <c r="G20" s="198">
        <v>0.2</v>
      </c>
      <c r="H20" s="198"/>
      <c r="I20" s="1"/>
      <c r="J20" s="1"/>
      <c r="K20" s="1"/>
      <c r="L20" s="1"/>
    </row>
    <row r="21" spans="1:12" ht="27.75" customHeight="1">
      <c r="A21" s="70">
        <v>11</v>
      </c>
      <c r="B21" s="8"/>
      <c r="C21" s="81" t="s">
        <v>5</v>
      </c>
      <c r="D21" s="10"/>
      <c r="E21" s="198">
        <f aca="true" t="shared" si="3" ref="E21:E29">+F21+H21</f>
        <v>0.2</v>
      </c>
      <c r="F21" s="198">
        <v>0.2</v>
      </c>
      <c r="G21" s="198">
        <v>0.1</v>
      </c>
      <c r="H21" s="198"/>
      <c r="I21" s="1"/>
      <c r="J21" s="1"/>
      <c r="K21" s="1"/>
      <c r="L21" s="1"/>
    </row>
    <row r="22" spans="1:12" ht="27.75" customHeight="1">
      <c r="A22" s="70">
        <v>12</v>
      </c>
      <c r="B22" s="8"/>
      <c r="C22" s="81" t="s">
        <v>7</v>
      </c>
      <c r="D22" s="10"/>
      <c r="E22" s="198">
        <f t="shared" si="3"/>
        <v>0.3</v>
      </c>
      <c r="F22" s="198">
        <v>0.3</v>
      </c>
      <c r="G22" s="198">
        <v>0.2</v>
      </c>
      <c r="H22" s="198"/>
      <c r="I22" s="1"/>
      <c r="J22" s="1"/>
      <c r="K22" s="1"/>
      <c r="L22" s="1"/>
    </row>
    <row r="23" spans="1:12" ht="27.75" customHeight="1">
      <c r="A23" s="70">
        <v>13</v>
      </c>
      <c r="B23" s="8"/>
      <c r="C23" s="81" t="s">
        <v>6</v>
      </c>
      <c r="D23" s="10"/>
      <c r="E23" s="198">
        <f t="shared" si="3"/>
        <v>0.5</v>
      </c>
      <c r="F23" s="198">
        <v>0.5</v>
      </c>
      <c r="G23" s="198">
        <v>0.4</v>
      </c>
      <c r="H23" s="198"/>
      <c r="I23" s="1"/>
      <c r="J23" s="1"/>
      <c r="K23" s="1"/>
      <c r="L23" s="1"/>
    </row>
    <row r="24" spans="1:12" ht="27.75" customHeight="1">
      <c r="A24" s="70">
        <v>14</v>
      </c>
      <c r="B24" s="8"/>
      <c r="C24" s="81" t="s">
        <v>9</v>
      </c>
      <c r="D24" s="10"/>
      <c r="E24" s="198">
        <f t="shared" si="3"/>
        <v>0.2</v>
      </c>
      <c r="F24" s="198">
        <v>0.2</v>
      </c>
      <c r="G24" s="198">
        <v>0.1</v>
      </c>
      <c r="H24" s="198"/>
      <c r="I24" s="1"/>
      <c r="J24" s="1"/>
      <c r="K24" s="1"/>
      <c r="L24" s="1"/>
    </row>
    <row r="25" spans="1:12" ht="27.75" customHeight="1">
      <c r="A25" s="70">
        <v>15</v>
      </c>
      <c r="B25" s="8"/>
      <c r="C25" s="91" t="s">
        <v>10</v>
      </c>
      <c r="D25" s="10"/>
      <c r="E25" s="198">
        <f t="shared" si="3"/>
        <v>0.3</v>
      </c>
      <c r="F25" s="198">
        <v>0.3</v>
      </c>
      <c r="G25" s="198">
        <v>0.2</v>
      </c>
      <c r="H25" s="198"/>
      <c r="I25" s="1"/>
      <c r="J25" s="1"/>
      <c r="K25" s="1"/>
      <c r="L25" s="1"/>
    </row>
    <row r="26" spans="1:12" ht="27.75" customHeight="1">
      <c r="A26" s="70">
        <v>16</v>
      </c>
      <c r="B26" s="8"/>
      <c r="C26" s="81" t="s">
        <v>12</v>
      </c>
      <c r="D26" s="10"/>
      <c r="E26" s="198">
        <f t="shared" si="3"/>
        <v>0.1</v>
      </c>
      <c r="F26" s="198">
        <v>0.1</v>
      </c>
      <c r="G26" s="198">
        <v>0.1</v>
      </c>
      <c r="H26" s="198"/>
      <c r="I26" s="1"/>
      <c r="J26" s="1"/>
      <c r="K26" s="1"/>
      <c r="L26" s="1"/>
    </row>
    <row r="27" spans="1:12" ht="27.75" customHeight="1">
      <c r="A27" s="70">
        <v>17</v>
      </c>
      <c r="B27" s="8"/>
      <c r="C27" s="81" t="s">
        <v>11</v>
      </c>
      <c r="D27" s="10"/>
      <c r="E27" s="198">
        <f t="shared" si="3"/>
        <v>0.1</v>
      </c>
      <c r="F27" s="198">
        <v>0.1</v>
      </c>
      <c r="G27" s="198">
        <v>0.1</v>
      </c>
      <c r="H27" s="198"/>
      <c r="I27" s="1"/>
      <c r="J27" s="1"/>
      <c r="K27" s="1"/>
      <c r="L27" s="1"/>
    </row>
    <row r="28" spans="1:12" ht="27.75" customHeight="1">
      <c r="A28" s="70">
        <v>18</v>
      </c>
      <c r="B28" s="8"/>
      <c r="C28" s="81" t="s">
        <v>13</v>
      </c>
      <c r="D28" s="10"/>
      <c r="E28" s="198">
        <f t="shared" si="3"/>
        <v>0.5</v>
      </c>
      <c r="F28" s="198">
        <v>0.5</v>
      </c>
      <c r="G28" s="198">
        <v>0.4</v>
      </c>
      <c r="H28" s="198"/>
      <c r="I28" s="1"/>
      <c r="J28" s="1"/>
      <c r="K28" s="1"/>
      <c r="L28" s="1"/>
    </row>
    <row r="29" spans="1:12" ht="27.75" customHeight="1">
      <c r="A29" s="70">
        <v>19</v>
      </c>
      <c r="B29" s="8"/>
      <c r="C29" s="81" t="s">
        <v>14</v>
      </c>
      <c r="D29" s="10"/>
      <c r="E29" s="198">
        <f t="shared" si="3"/>
        <v>0.3</v>
      </c>
      <c r="F29" s="198">
        <v>0.3</v>
      </c>
      <c r="G29" s="198">
        <v>0.2</v>
      </c>
      <c r="H29" s="198"/>
      <c r="I29" s="1"/>
      <c r="J29" s="1"/>
      <c r="K29" s="1"/>
      <c r="L29" s="1"/>
    </row>
    <row r="30" spans="1:12" ht="12.75" customHeight="1">
      <c r="A30" s="70">
        <v>20</v>
      </c>
      <c r="B30" s="149"/>
      <c r="C30" s="64" t="s">
        <v>22</v>
      </c>
      <c r="D30" s="165"/>
      <c r="E30" s="207">
        <f>+F30+H30</f>
        <v>2232.6000000000004</v>
      </c>
      <c r="F30" s="207">
        <f>+F11+F14+F17</f>
        <v>1348.1000000000001</v>
      </c>
      <c r="G30" s="207">
        <f>+G11+G14+G17</f>
        <v>345</v>
      </c>
      <c r="H30" s="207">
        <f>+H11+H14+H17</f>
        <v>884.5</v>
      </c>
      <c r="I30" s="1"/>
      <c r="J30" s="1"/>
      <c r="K30" s="1"/>
      <c r="L30" s="1"/>
    </row>
    <row r="31" spans="3:8" ht="12.75">
      <c r="C31" s="61" t="s">
        <v>295</v>
      </c>
      <c r="D31" s="62"/>
      <c r="E31" s="17"/>
      <c r="F31" s="42"/>
      <c r="G31" s="42"/>
      <c r="H31" s="42"/>
    </row>
    <row r="32" spans="3:8" ht="12.75">
      <c r="C32" s="63"/>
      <c r="D32" s="62"/>
      <c r="E32" s="17"/>
      <c r="F32" s="17"/>
      <c r="G32" s="17"/>
      <c r="H32" s="17"/>
    </row>
    <row r="33" spans="5:8" ht="12.75">
      <c r="E33" s="17"/>
      <c r="F33" s="17"/>
      <c r="G33" s="17"/>
      <c r="H33" s="17"/>
    </row>
    <row r="34" spans="5:8" ht="12.75">
      <c r="E34" s="17"/>
      <c r="F34" s="1"/>
      <c r="G34" s="1"/>
      <c r="H34" s="1"/>
    </row>
    <row r="35" spans="4:8" ht="12.75">
      <c r="D35" s="2"/>
      <c r="E35" s="83"/>
      <c r="F35" s="1"/>
      <c r="G35" s="1"/>
      <c r="H35" s="1"/>
    </row>
    <row r="36" spans="4:8" ht="12.75">
      <c r="D36" s="2"/>
      <c r="E36" s="83"/>
      <c r="F36" s="1"/>
      <c r="G36" s="1"/>
      <c r="H36" s="1"/>
    </row>
    <row r="37" spans="4:8" ht="12.75">
      <c r="D37" s="2"/>
      <c r="E37" s="83"/>
      <c r="F37" s="1"/>
      <c r="G37" s="1"/>
      <c r="H37" s="1"/>
    </row>
    <row r="38" spans="4:8" ht="12.75">
      <c r="D38" s="2"/>
      <c r="E38" s="1"/>
      <c r="F38" s="1"/>
      <c r="G38" s="1"/>
      <c r="H38" s="1"/>
    </row>
    <row r="39" spans="3:8" ht="12.75">
      <c r="C39" s="2"/>
      <c r="D39" s="2"/>
      <c r="E39" s="17"/>
      <c r="F39" s="17"/>
      <c r="G39" s="17"/>
      <c r="H39" s="17"/>
    </row>
    <row r="40" spans="4:8" ht="12.75">
      <c r="D40" s="2"/>
      <c r="E40" s="17"/>
      <c r="F40" s="2"/>
      <c r="G40" s="2"/>
      <c r="H40" s="2"/>
    </row>
    <row r="41" spans="4:8" ht="12.75">
      <c r="D41" s="2"/>
      <c r="E41" s="17"/>
      <c r="F41" s="1"/>
      <c r="G41" s="1"/>
      <c r="H41" s="1"/>
    </row>
    <row r="42" spans="4:8" ht="12.75">
      <c r="D42" s="2"/>
      <c r="E42" s="1"/>
      <c r="F42" s="1"/>
      <c r="G42" s="1"/>
      <c r="H42" s="1"/>
    </row>
    <row r="43" spans="4:8" ht="12.75">
      <c r="D43" s="2"/>
      <c r="E43" s="2"/>
      <c r="F43" s="2"/>
      <c r="G43" s="2"/>
      <c r="H43" s="2"/>
    </row>
    <row r="44" spans="4:8" ht="12.75">
      <c r="D44" s="2"/>
      <c r="E44" s="1"/>
      <c r="F44" s="1"/>
      <c r="G44" s="1"/>
      <c r="H44" s="1"/>
    </row>
    <row r="45" spans="4:8" ht="12.75">
      <c r="D45" s="2"/>
      <c r="E45" s="2"/>
      <c r="F45" s="2"/>
      <c r="G45" s="2"/>
      <c r="H45" s="2"/>
    </row>
    <row r="46" spans="4:8" ht="12.75">
      <c r="D46" s="2"/>
      <c r="E46" s="2"/>
      <c r="F46" s="2"/>
      <c r="G46" s="2"/>
      <c r="H46" s="2"/>
    </row>
  </sheetData>
  <sheetProtection/>
  <mergeCells count="12">
    <mergeCell ref="H8:H9"/>
    <mergeCell ref="C1:H1"/>
    <mergeCell ref="C2:H2"/>
    <mergeCell ref="E3:H3"/>
    <mergeCell ref="A5:H5"/>
    <mergeCell ref="A7:A9"/>
    <mergeCell ref="B7:B9"/>
    <mergeCell ref="C7:C9"/>
    <mergeCell ref="D7:D9"/>
    <mergeCell ref="E7:E9"/>
    <mergeCell ref="F7:G7"/>
    <mergeCell ref="F8:G8"/>
  </mergeCells>
  <printOptions/>
  <pageMargins left="0.5118110236220472" right="0"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40"/>
  <sheetViews>
    <sheetView zoomScalePageLayoutView="0" workbookViewId="0" topLeftCell="A1">
      <selection activeCell="N18" sqref="N18"/>
    </sheetView>
  </sheetViews>
  <sheetFormatPr defaultColWidth="9.140625" defaultRowHeight="12.75"/>
  <cols>
    <col min="1" max="1" width="4.7109375" style="2" customWidth="1"/>
    <col min="2" max="2" width="5.140625" style="59" customWidth="1"/>
    <col min="3" max="3" width="41.421875" style="59" customWidth="1"/>
    <col min="4" max="4" width="9.8515625" style="6" customWidth="1"/>
    <col min="5" max="6" width="9.421875" style="6" customWidth="1"/>
    <col min="7" max="7" width="9.00390625" style="6" customWidth="1"/>
    <col min="8" max="8" width="7.7109375" style="6" customWidth="1"/>
    <col min="9" max="16384" width="9.140625" style="2" customWidth="1"/>
  </cols>
  <sheetData>
    <row r="1" spans="3:8" ht="15.75">
      <c r="C1" s="291" t="s">
        <v>345</v>
      </c>
      <c r="D1" s="291"/>
      <c r="E1" s="291"/>
      <c r="F1" s="291"/>
      <c r="G1" s="291"/>
      <c r="H1" s="291"/>
    </row>
    <row r="2" spans="3:8" ht="15.75">
      <c r="C2" s="291" t="s">
        <v>941</v>
      </c>
      <c r="D2" s="291"/>
      <c r="E2" s="291"/>
      <c r="F2" s="291"/>
      <c r="G2" s="291"/>
      <c r="H2" s="291"/>
    </row>
    <row r="3" spans="5:8" ht="15.75">
      <c r="E3" s="297" t="s">
        <v>943</v>
      </c>
      <c r="F3" s="297"/>
      <c r="G3" s="297"/>
      <c r="H3" s="297"/>
    </row>
    <row r="4" spans="5:8" ht="15.75">
      <c r="E4" s="31"/>
      <c r="F4" s="31"/>
      <c r="G4" s="31"/>
      <c r="H4" s="31"/>
    </row>
    <row r="5" spans="1:8" ht="35.25" customHeight="1">
      <c r="A5" s="323" t="s">
        <v>604</v>
      </c>
      <c r="B5" s="323"/>
      <c r="C5" s="323"/>
      <c r="D5" s="323"/>
      <c r="E5" s="323"/>
      <c r="F5" s="323"/>
      <c r="G5" s="323"/>
      <c r="H5" s="323"/>
    </row>
    <row r="6" spans="1:8" ht="12.75">
      <c r="A6" s="32"/>
      <c r="B6" s="60"/>
      <c r="C6" s="60"/>
      <c r="D6" s="37"/>
      <c r="E6" s="37"/>
      <c r="F6" s="37"/>
      <c r="G6" s="37"/>
      <c r="H6" s="6" t="s">
        <v>396</v>
      </c>
    </row>
    <row r="7" spans="1:8" ht="12.75" customHeight="1">
      <c r="A7" s="300" t="s">
        <v>0</v>
      </c>
      <c r="B7" s="320" t="s">
        <v>32</v>
      </c>
      <c r="C7" s="310" t="s">
        <v>16</v>
      </c>
      <c r="D7" s="316" t="s">
        <v>131</v>
      </c>
      <c r="E7" s="300" t="s">
        <v>17</v>
      </c>
      <c r="F7" s="300" t="s">
        <v>199</v>
      </c>
      <c r="G7" s="300"/>
      <c r="H7" s="35"/>
    </row>
    <row r="8" spans="1:8" ht="12.75" customHeight="1">
      <c r="A8" s="301"/>
      <c r="B8" s="320"/>
      <c r="C8" s="310"/>
      <c r="D8" s="317"/>
      <c r="E8" s="300"/>
      <c r="F8" s="300" t="s">
        <v>19</v>
      </c>
      <c r="G8" s="300"/>
      <c r="H8" s="300" t="s">
        <v>33</v>
      </c>
    </row>
    <row r="9" spans="1:8" ht="39.75" customHeight="1">
      <c r="A9" s="301"/>
      <c r="B9" s="320"/>
      <c r="C9" s="310"/>
      <c r="D9" s="321"/>
      <c r="E9" s="300"/>
      <c r="F9" s="7" t="s">
        <v>34</v>
      </c>
      <c r="G9" s="7" t="s">
        <v>35</v>
      </c>
      <c r="H9" s="300"/>
    </row>
    <row r="10" spans="1:12" s="15" customFormat="1" ht="12.75" customHeight="1">
      <c r="A10" s="39">
        <v>1</v>
      </c>
      <c r="B10" s="9" t="s">
        <v>20</v>
      </c>
      <c r="C10" s="9" t="s">
        <v>200</v>
      </c>
      <c r="D10" s="7">
        <v>4</v>
      </c>
      <c r="E10" s="7">
        <v>5</v>
      </c>
      <c r="F10" s="7">
        <v>6</v>
      </c>
      <c r="G10" s="7">
        <v>7</v>
      </c>
      <c r="H10" s="39">
        <v>8</v>
      </c>
      <c r="I10" s="2"/>
      <c r="J10" s="2"/>
      <c r="K10" s="2"/>
      <c r="L10" s="2"/>
    </row>
    <row r="11" spans="1:12" s="15" customFormat="1" ht="19.5" customHeight="1">
      <c r="A11" s="70">
        <v>1</v>
      </c>
      <c r="B11" s="8" t="s">
        <v>162</v>
      </c>
      <c r="C11" s="11" t="s">
        <v>163</v>
      </c>
      <c r="D11" s="7"/>
      <c r="E11" s="197">
        <f aca="true" t="shared" si="0" ref="E11:E20">+F11+H11</f>
        <v>10.299999999999999</v>
      </c>
      <c r="F11" s="197">
        <f>+F12</f>
        <v>2.6999999999999997</v>
      </c>
      <c r="G11" s="197">
        <f>+G12</f>
        <v>0</v>
      </c>
      <c r="H11" s="197">
        <f>+H12</f>
        <v>7.6</v>
      </c>
      <c r="I11" s="1"/>
      <c r="J11" s="1"/>
      <c r="K11" s="2"/>
      <c r="L11" s="2"/>
    </row>
    <row r="12" spans="1:9" ht="18" customHeight="1">
      <c r="A12" s="70">
        <v>2</v>
      </c>
      <c r="B12" s="8"/>
      <c r="C12" s="43" t="s">
        <v>605</v>
      </c>
      <c r="D12" s="142" t="s">
        <v>540</v>
      </c>
      <c r="E12" s="198">
        <f t="shared" si="0"/>
        <v>10.299999999999999</v>
      </c>
      <c r="F12" s="198">
        <f>+F14</f>
        <v>2.6999999999999997</v>
      </c>
      <c r="G12" s="198">
        <f>+G14</f>
        <v>0</v>
      </c>
      <c r="H12" s="198">
        <f>+H14</f>
        <v>7.6</v>
      </c>
      <c r="I12" s="1"/>
    </row>
    <row r="13" spans="1:9" ht="18" customHeight="1">
      <c r="A13" s="70"/>
      <c r="B13" s="8"/>
      <c r="C13" s="43" t="s">
        <v>154</v>
      </c>
      <c r="D13" s="142"/>
      <c r="E13" s="198"/>
      <c r="F13" s="198"/>
      <c r="G13" s="198"/>
      <c r="H13" s="198"/>
      <c r="I13" s="1"/>
    </row>
    <row r="14" spans="1:12" s="15" customFormat="1" ht="27.75" customHeight="1">
      <c r="A14" s="70" t="s">
        <v>809</v>
      </c>
      <c r="B14" s="10"/>
      <c r="C14" s="91" t="s">
        <v>481</v>
      </c>
      <c r="D14" s="177"/>
      <c r="E14" s="198">
        <f t="shared" si="0"/>
        <v>10.299999999999999</v>
      </c>
      <c r="F14" s="198">
        <f>0.3+2.4</f>
        <v>2.6999999999999997</v>
      </c>
      <c r="G14" s="198"/>
      <c r="H14" s="198">
        <f>10-2.4</f>
        <v>7.6</v>
      </c>
      <c r="I14" s="1"/>
      <c r="J14" s="1"/>
      <c r="K14" s="2"/>
      <c r="L14" s="2"/>
    </row>
    <row r="15" spans="1:9" ht="30.75" customHeight="1">
      <c r="A15" s="70">
        <v>3</v>
      </c>
      <c r="B15" s="8" t="s">
        <v>242</v>
      </c>
      <c r="C15" s="97" t="s">
        <v>243</v>
      </c>
      <c r="D15" s="10"/>
      <c r="E15" s="173">
        <f t="shared" si="0"/>
        <v>45.400000000000006</v>
      </c>
      <c r="F15" s="173">
        <f>+F16</f>
        <v>0.7</v>
      </c>
      <c r="G15" s="173">
        <f>+G16</f>
        <v>0</v>
      </c>
      <c r="H15" s="173">
        <f>+H16</f>
        <v>44.7</v>
      </c>
      <c r="I15" s="1"/>
    </row>
    <row r="16" spans="1:9" ht="18" customHeight="1">
      <c r="A16" s="70">
        <v>4</v>
      </c>
      <c r="B16" s="8"/>
      <c r="C16" s="43" t="s">
        <v>605</v>
      </c>
      <c r="D16" s="10" t="s">
        <v>545</v>
      </c>
      <c r="E16" s="198">
        <f t="shared" si="0"/>
        <v>45.400000000000006</v>
      </c>
      <c r="F16" s="198">
        <f>+F18+F19</f>
        <v>0.7</v>
      </c>
      <c r="G16" s="198">
        <f>+G18+G19</f>
        <v>0</v>
      </c>
      <c r="H16" s="198">
        <f>+H18+H19</f>
        <v>44.7</v>
      </c>
      <c r="I16" s="1"/>
    </row>
    <row r="17" spans="1:9" ht="18" customHeight="1">
      <c r="A17" s="70"/>
      <c r="B17" s="8"/>
      <c r="C17" s="43" t="s">
        <v>154</v>
      </c>
      <c r="D17" s="10"/>
      <c r="E17" s="198"/>
      <c r="F17" s="198"/>
      <c r="G17" s="198"/>
      <c r="H17" s="198"/>
      <c r="I17" s="1"/>
    </row>
    <row r="18" spans="1:9" ht="18" customHeight="1">
      <c r="A18" s="70" t="s">
        <v>782</v>
      </c>
      <c r="B18" s="8"/>
      <c r="C18" s="205" t="s">
        <v>409</v>
      </c>
      <c r="D18" s="10" t="s">
        <v>319</v>
      </c>
      <c r="E18" s="198">
        <f t="shared" si="0"/>
        <v>35.4</v>
      </c>
      <c r="F18" s="198">
        <f>0.4+0.1</f>
        <v>0.5</v>
      </c>
      <c r="G18" s="198"/>
      <c r="H18" s="198">
        <f>35.6-0.1-0.6</f>
        <v>34.9</v>
      </c>
      <c r="I18" s="1"/>
    </row>
    <row r="19" spans="1:9" ht="41.25" customHeight="1">
      <c r="A19" s="70" t="s">
        <v>783</v>
      </c>
      <c r="B19" s="8"/>
      <c r="C19" s="49" t="s">
        <v>489</v>
      </c>
      <c r="D19" s="18"/>
      <c r="E19" s="198">
        <f t="shared" si="0"/>
        <v>10</v>
      </c>
      <c r="F19" s="198">
        <v>0.2</v>
      </c>
      <c r="G19" s="198"/>
      <c r="H19" s="198">
        <v>9.8</v>
      </c>
      <c r="I19" s="1"/>
    </row>
    <row r="20" spans="1:9" ht="41.25" customHeight="1">
      <c r="A20" s="70">
        <v>5</v>
      </c>
      <c r="B20" s="8" t="s">
        <v>168</v>
      </c>
      <c r="C20" s="114" t="s">
        <v>169</v>
      </c>
      <c r="D20" s="18"/>
      <c r="E20" s="173">
        <f t="shared" si="0"/>
        <v>30</v>
      </c>
      <c r="F20" s="198">
        <f>+F21</f>
        <v>0.5</v>
      </c>
      <c r="G20" s="198">
        <f>+G21</f>
        <v>0</v>
      </c>
      <c r="H20" s="198">
        <f>+H21</f>
        <v>29.5</v>
      </c>
      <c r="I20" s="1"/>
    </row>
    <row r="21" spans="1:9" ht="17.25" customHeight="1">
      <c r="A21" s="70">
        <v>6</v>
      </c>
      <c r="B21" s="8"/>
      <c r="C21" s="43" t="s">
        <v>605</v>
      </c>
      <c r="D21" s="18"/>
      <c r="E21" s="198">
        <f>+F21+H21</f>
        <v>30</v>
      </c>
      <c r="F21" s="198">
        <f>+F23</f>
        <v>0.5</v>
      </c>
      <c r="G21" s="198">
        <f>+G23</f>
        <v>0</v>
      </c>
      <c r="H21" s="198">
        <f>+H23</f>
        <v>29.5</v>
      </c>
      <c r="I21" s="1"/>
    </row>
    <row r="22" spans="1:9" ht="12.75" customHeight="1">
      <c r="A22" s="70"/>
      <c r="B22" s="8"/>
      <c r="C22" s="43" t="s">
        <v>154</v>
      </c>
      <c r="D22" s="18"/>
      <c r="E22" s="198"/>
      <c r="F22" s="198"/>
      <c r="G22" s="198"/>
      <c r="H22" s="198"/>
      <c r="I22" s="1"/>
    </row>
    <row r="23" spans="1:9" ht="41.25" customHeight="1">
      <c r="A23" s="70" t="s">
        <v>784</v>
      </c>
      <c r="B23" s="8"/>
      <c r="C23" s="276" t="s">
        <v>505</v>
      </c>
      <c r="D23" s="18"/>
      <c r="E23" s="198">
        <f>+F23+H23</f>
        <v>30</v>
      </c>
      <c r="F23" s="198">
        <v>0.5</v>
      </c>
      <c r="G23" s="198"/>
      <c r="H23" s="198">
        <v>29.5</v>
      </c>
      <c r="I23" s="1"/>
    </row>
    <row r="24" spans="1:13" ht="12.75" customHeight="1">
      <c r="A24" s="70">
        <v>7</v>
      </c>
      <c r="B24" s="149"/>
      <c r="C24" s="64" t="s">
        <v>22</v>
      </c>
      <c r="D24" s="165"/>
      <c r="E24" s="207">
        <f>+F24+H24</f>
        <v>85.70000000000002</v>
      </c>
      <c r="F24" s="207">
        <f>+F11+F15+F20</f>
        <v>3.8999999999999995</v>
      </c>
      <c r="G24" s="207">
        <f>+G11+G15+G20</f>
        <v>0</v>
      </c>
      <c r="H24" s="207">
        <f>+H11+H15+H20</f>
        <v>81.80000000000001</v>
      </c>
      <c r="I24" s="1"/>
      <c r="J24" s="1"/>
      <c r="K24" s="1"/>
      <c r="L24" s="1"/>
      <c r="M24" s="1"/>
    </row>
    <row r="25" spans="3:8" ht="12.75">
      <c r="C25" s="61" t="s">
        <v>295</v>
      </c>
      <c r="D25" s="62"/>
      <c r="E25" s="17"/>
      <c r="F25" s="42"/>
      <c r="G25" s="42"/>
      <c r="H25" s="42"/>
    </row>
    <row r="26" spans="3:8" ht="12.75">
      <c r="C26" s="63"/>
      <c r="D26" s="62"/>
      <c r="E26" s="17"/>
      <c r="F26" s="17"/>
      <c r="G26" s="17"/>
      <c r="H26" s="17"/>
    </row>
    <row r="27" spans="5:8" ht="12.75">
      <c r="E27" s="17"/>
      <c r="F27" s="17"/>
      <c r="G27" s="17"/>
      <c r="H27" s="17"/>
    </row>
    <row r="28" spans="5:8" ht="12.75">
      <c r="E28" s="17"/>
      <c r="F28" s="1"/>
      <c r="G28" s="1"/>
      <c r="H28" s="1"/>
    </row>
    <row r="29" spans="4:8" ht="12.75">
      <c r="D29" s="2"/>
      <c r="E29" s="83"/>
      <c r="F29" s="1"/>
      <c r="G29" s="1"/>
      <c r="H29" s="1"/>
    </row>
    <row r="30" spans="4:8" ht="12.75">
      <c r="D30" s="2"/>
      <c r="E30" s="83"/>
      <c r="F30" s="1"/>
      <c r="G30" s="1"/>
      <c r="H30" s="1"/>
    </row>
    <row r="31" spans="4:8" ht="12.75">
      <c r="D31" s="2"/>
      <c r="E31" s="83"/>
      <c r="F31" s="1"/>
      <c r="G31" s="1"/>
      <c r="H31" s="1"/>
    </row>
    <row r="32" spans="4:8" ht="12.75">
      <c r="D32" s="2"/>
      <c r="E32" s="1"/>
      <c r="F32" s="1"/>
      <c r="G32" s="1"/>
      <c r="H32" s="1"/>
    </row>
    <row r="33" spans="3:8" ht="12.75">
      <c r="C33" s="2"/>
      <c r="D33" s="2"/>
      <c r="E33" s="17"/>
      <c r="F33" s="17"/>
      <c r="G33" s="17"/>
      <c r="H33" s="17"/>
    </row>
    <row r="34" spans="4:8" ht="12.75">
      <c r="D34" s="2"/>
      <c r="E34" s="17"/>
      <c r="F34" s="2"/>
      <c r="G34" s="2"/>
      <c r="H34" s="2"/>
    </row>
    <row r="35" spans="4:8" ht="12.75">
      <c r="D35" s="2"/>
      <c r="E35" s="17"/>
      <c r="F35" s="1"/>
      <c r="G35" s="1"/>
      <c r="H35" s="1"/>
    </row>
    <row r="36" spans="4:8" ht="12.75">
      <c r="D36" s="2"/>
      <c r="E36" s="1"/>
      <c r="F36" s="1"/>
      <c r="G36" s="1"/>
      <c r="H36" s="1"/>
    </row>
    <row r="37" spans="4:8" ht="12.75">
      <c r="D37" s="2"/>
      <c r="E37" s="2"/>
      <c r="F37" s="2"/>
      <c r="G37" s="2"/>
      <c r="H37" s="2"/>
    </row>
    <row r="38" spans="4:8" ht="12.75">
      <c r="D38" s="2"/>
      <c r="E38" s="1"/>
      <c r="F38" s="1"/>
      <c r="G38" s="1"/>
      <c r="H38" s="1"/>
    </row>
    <row r="39" spans="4:8" ht="12.75">
      <c r="D39" s="2"/>
      <c r="E39" s="2"/>
      <c r="F39" s="2"/>
      <c r="G39" s="2"/>
      <c r="H39" s="2"/>
    </row>
    <row r="40" spans="4:8" ht="12.75">
      <c r="D40" s="2"/>
      <c r="E40" s="2"/>
      <c r="F40" s="2"/>
      <c r="G40" s="2"/>
      <c r="H40" s="2"/>
    </row>
  </sheetData>
  <sheetProtection/>
  <mergeCells count="12">
    <mergeCell ref="E3:H3"/>
    <mergeCell ref="A5:H5"/>
    <mergeCell ref="A7:A9"/>
    <mergeCell ref="B7:B9"/>
    <mergeCell ref="C7:C9"/>
    <mergeCell ref="D7:D9"/>
    <mergeCell ref="C1:H1"/>
    <mergeCell ref="C2:H2"/>
    <mergeCell ref="E7:E9"/>
    <mergeCell ref="F7:G7"/>
    <mergeCell ref="F8:G8"/>
    <mergeCell ref="H8:H9"/>
  </mergeCells>
  <printOptions/>
  <pageMargins left="0.5118110236220472" right="0"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93"/>
  <sheetViews>
    <sheetView zoomScalePageLayoutView="0" workbookViewId="0" topLeftCell="A1">
      <selection activeCell="I33" sqref="I33"/>
    </sheetView>
  </sheetViews>
  <sheetFormatPr defaultColWidth="9.140625" defaultRowHeight="12.75"/>
  <cols>
    <col min="1" max="1" width="5.7109375" style="72" customWidth="1"/>
    <col min="2" max="2" width="10.140625" style="72" customWidth="1"/>
    <col min="3" max="3" width="65.140625" style="72" customWidth="1"/>
    <col min="4" max="4" width="15.28125" style="76" customWidth="1"/>
    <col min="5" max="16384" width="9.140625" style="72" customWidth="1"/>
  </cols>
  <sheetData>
    <row r="1" spans="3:4" ht="15.75">
      <c r="C1" s="324" t="s">
        <v>334</v>
      </c>
      <c r="D1" s="324"/>
    </row>
    <row r="2" spans="3:4" ht="15.75">
      <c r="C2" s="325" t="s">
        <v>942</v>
      </c>
      <c r="D2" s="325"/>
    </row>
    <row r="3" spans="3:4" ht="15.75">
      <c r="C3" s="297" t="s">
        <v>939</v>
      </c>
      <c r="D3" s="297"/>
    </row>
    <row r="4" spans="3:4" ht="15.75">
      <c r="C4" s="31"/>
      <c r="D4" s="31"/>
    </row>
    <row r="5" spans="1:5" s="2" customFormat="1" ht="12.75" customHeight="1">
      <c r="A5" s="313" t="s">
        <v>285</v>
      </c>
      <c r="B5" s="313"/>
      <c r="C5" s="313"/>
      <c r="D5" s="313"/>
      <c r="E5" s="38"/>
    </row>
    <row r="6" spans="1:4" s="2" customFormat="1" ht="12.75" customHeight="1">
      <c r="A6" s="327" t="s">
        <v>427</v>
      </c>
      <c r="B6" s="327"/>
      <c r="C6" s="327"/>
      <c r="D6" s="327"/>
    </row>
    <row r="7" ht="15.75">
      <c r="A7" s="74"/>
    </row>
    <row r="8" spans="2:4" s="2" customFormat="1" ht="12" customHeight="1">
      <c r="B8" s="4" t="s">
        <v>248</v>
      </c>
      <c r="D8" s="1"/>
    </row>
    <row r="9" spans="2:4" s="2" customFormat="1" ht="12.75">
      <c r="B9" s="4" t="s">
        <v>249</v>
      </c>
      <c r="D9" s="1"/>
    </row>
    <row r="10" spans="2:7" ht="11.25" customHeight="1">
      <c r="B10" s="75"/>
      <c r="E10" s="74"/>
      <c r="F10" s="74"/>
      <c r="G10" s="74"/>
    </row>
    <row r="11" spans="2:4" s="4" customFormat="1" ht="24" customHeight="1">
      <c r="B11" s="130" t="s">
        <v>0</v>
      </c>
      <c r="C11" s="130" t="s">
        <v>250</v>
      </c>
      <c r="D11" s="163" t="s">
        <v>380</v>
      </c>
    </row>
    <row r="12" spans="2:5" s="2" customFormat="1" ht="12" customHeight="1">
      <c r="B12" s="91" t="s">
        <v>810</v>
      </c>
      <c r="C12" s="91" t="s">
        <v>251</v>
      </c>
      <c r="D12" s="161">
        <f>185+5</f>
        <v>190</v>
      </c>
      <c r="E12" s="181"/>
    </row>
    <row r="13" spans="2:4" s="2" customFormat="1" ht="12" customHeight="1">
      <c r="B13" s="91" t="s">
        <v>811</v>
      </c>
      <c r="C13" s="91" t="s">
        <v>252</v>
      </c>
      <c r="D13" s="161">
        <v>20</v>
      </c>
    </row>
    <row r="14" spans="2:4" s="2" customFormat="1" ht="12" customHeight="1">
      <c r="B14" s="91" t="s">
        <v>812</v>
      </c>
      <c r="C14" s="91" t="s">
        <v>253</v>
      </c>
      <c r="D14" s="161">
        <v>0</v>
      </c>
    </row>
    <row r="15" spans="2:4" s="2" customFormat="1" ht="12" customHeight="1">
      <c r="B15" s="91" t="s">
        <v>813</v>
      </c>
      <c r="C15" s="91" t="s">
        <v>254</v>
      </c>
      <c r="D15" s="161">
        <v>0</v>
      </c>
    </row>
    <row r="16" spans="2:4" s="4" customFormat="1" ht="12" customHeight="1">
      <c r="B16" s="130" t="s">
        <v>814</v>
      </c>
      <c r="C16" s="130" t="s">
        <v>255</v>
      </c>
      <c r="D16" s="162">
        <f>+D12+D13+D14+D15</f>
        <v>210</v>
      </c>
    </row>
    <row r="17" spans="2:4" s="2" customFormat="1" ht="12" customHeight="1">
      <c r="B17" s="91" t="s">
        <v>815</v>
      </c>
      <c r="C17" s="91" t="s">
        <v>256</v>
      </c>
      <c r="D17" s="161">
        <v>25</v>
      </c>
    </row>
    <row r="18" spans="2:4" s="2" customFormat="1" ht="12" customHeight="1">
      <c r="B18" s="91" t="s">
        <v>816</v>
      </c>
      <c r="C18" s="91" t="s">
        <v>257</v>
      </c>
      <c r="D18" s="161">
        <v>9.8</v>
      </c>
    </row>
    <row r="19" spans="2:4" s="4" customFormat="1" ht="12" customHeight="1">
      <c r="B19" s="130" t="s">
        <v>817</v>
      </c>
      <c r="C19" s="130" t="s">
        <v>258</v>
      </c>
      <c r="D19" s="162">
        <f>SUM(D17:D18)</f>
        <v>34.8</v>
      </c>
    </row>
    <row r="20" spans="2:6" s="4" customFormat="1" ht="12" customHeight="1">
      <c r="B20" s="130" t="s">
        <v>818</v>
      </c>
      <c r="C20" s="130" t="s">
        <v>259</v>
      </c>
      <c r="D20" s="162">
        <f>SUM(D16,D19)</f>
        <v>244.8</v>
      </c>
      <c r="E20" s="131"/>
      <c r="F20" s="22"/>
    </row>
    <row r="21" spans="2:6" s="21" customFormat="1" ht="12.75">
      <c r="B21" s="132"/>
      <c r="C21" s="132"/>
      <c r="D21" s="133"/>
      <c r="E21" s="182"/>
      <c r="F21" s="77"/>
    </row>
    <row r="22" spans="2:7" s="4" customFormat="1" ht="26.25" customHeight="1">
      <c r="B22" s="130" t="s">
        <v>0</v>
      </c>
      <c r="C22" s="130" t="s">
        <v>260</v>
      </c>
      <c r="D22" s="163" t="s">
        <v>381</v>
      </c>
      <c r="E22" s="22"/>
      <c r="G22" s="22"/>
    </row>
    <row r="23" spans="2:7" s="2" customFormat="1" ht="43.5" customHeight="1">
      <c r="B23" s="91" t="s">
        <v>819</v>
      </c>
      <c r="C23" s="91" t="s">
        <v>397</v>
      </c>
      <c r="D23" s="161">
        <f>41+1</f>
        <v>42</v>
      </c>
      <c r="E23" s="83"/>
      <c r="G23" s="1"/>
    </row>
    <row r="24" spans="2:4" s="2" customFormat="1" ht="12" customHeight="1">
      <c r="B24" s="91" t="s">
        <v>820</v>
      </c>
      <c r="C24" s="91" t="s">
        <v>257</v>
      </c>
      <c r="D24" s="161">
        <v>2</v>
      </c>
    </row>
    <row r="25" spans="2:4" s="4" customFormat="1" ht="12" customHeight="1">
      <c r="B25" s="130" t="s">
        <v>821</v>
      </c>
      <c r="C25" s="130" t="s">
        <v>261</v>
      </c>
      <c r="D25" s="162">
        <f>SUM(D23:D24)</f>
        <v>44</v>
      </c>
    </row>
    <row r="26" spans="2:4" s="2" customFormat="1" ht="12.75">
      <c r="B26" s="132"/>
      <c r="C26" s="132"/>
      <c r="D26" s="164"/>
    </row>
    <row r="27" spans="2:4" s="4" customFormat="1" ht="25.5">
      <c r="B27" s="130" t="s">
        <v>0</v>
      </c>
      <c r="C27" s="130" t="s">
        <v>262</v>
      </c>
      <c r="D27" s="163" t="s">
        <v>381</v>
      </c>
    </row>
    <row r="28" spans="2:4" s="2" customFormat="1" ht="47.25" customHeight="1">
      <c r="B28" s="91" t="s">
        <v>822</v>
      </c>
      <c r="C28" s="91" t="s">
        <v>398</v>
      </c>
      <c r="D28" s="161">
        <f>164+4</f>
        <v>168</v>
      </c>
    </row>
    <row r="29" spans="2:4" s="2" customFormat="1" ht="12" customHeight="1">
      <c r="B29" s="91" t="s">
        <v>823</v>
      </c>
      <c r="C29" s="91" t="s">
        <v>257</v>
      </c>
      <c r="D29" s="161">
        <v>28.2</v>
      </c>
    </row>
    <row r="30" spans="2:5" s="4" customFormat="1" ht="12" customHeight="1">
      <c r="B30" s="130" t="s">
        <v>824</v>
      </c>
      <c r="C30" s="130" t="s">
        <v>263</v>
      </c>
      <c r="D30" s="162">
        <f>SUM(D28:D29)</f>
        <v>196.2</v>
      </c>
      <c r="E30" s="131"/>
    </row>
    <row r="31" spans="2:5" s="21" customFormat="1" ht="15.75" customHeight="1">
      <c r="B31" s="132"/>
      <c r="C31" s="132"/>
      <c r="D31" s="133"/>
      <c r="E31" s="115"/>
    </row>
    <row r="32" spans="2:5" s="4" customFormat="1" ht="25.5">
      <c r="B32" s="130" t="s">
        <v>0</v>
      </c>
      <c r="C32" s="130" t="s">
        <v>264</v>
      </c>
      <c r="D32" s="163" t="s">
        <v>381</v>
      </c>
      <c r="E32" s="22"/>
    </row>
    <row r="33" spans="2:4" s="2" customFormat="1" ht="42" customHeight="1">
      <c r="B33" s="91" t="s">
        <v>809</v>
      </c>
      <c r="C33" s="91" t="s">
        <v>308</v>
      </c>
      <c r="D33" s="161">
        <v>34.8</v>
      </c>
    </row>
    <row r="34" spans="2:6" s="2" customFormat="1" ht="41.25" customHeight="1">
      <c r="B34" s="91" t="s">
        <v>825</v>
      </c>
      <c r="C34" s="91" t="s">
        <v>309</v>
      </c>
      <c r="D34" s="161">
        <v>15.2</v>
      </c>
      <c r="E34" s="22"/>
      <c r="F34" s="85"/>
    </row>
    <row r="35" spans="2:4" s="2" customFormat="1" ht="25.5" customHeight="1">
      <c r="B35" s="91" t="s">
        <v>826</v>
      </c>
      <c r="C35" s="91" t="s">
        <v>310</v>
      </c>
      <c r="D35" s="161">
        <v>17.5</v>
      </c>
    </row>
    <row r="36" spans="2:4" s="2" customFormat="1" ht="15" customHeight="1">
      <c r="B36" s="91" t="s">
        <v>827</v>
      </c>
      <c r="C36" s="91" t="s">
        <v>351</v>
      </c>
      <c r="D36" s="161">
        <v>1.5</v>
      </c>
    </row>
    <row r="37" spans="2:4" s="2" customFormat="1" ht="25.5">
      <c r="B37" s="91" t="s">
        <v>828</v>
      </c>
      <c r="C37" s="91" t="s">
        <v>311</v>
      </c>
      <c r="D37" s="161">
        <v>0.6</v>
      </c>
    </row>
    <row r="38" spans="2:4" s="2" customFormat="1" ht="42.75" customHeight="1">
      <c r="B38" s="91" t="s">
        <v>829</v>
      </c>
      <c r="C38" s="91" t="s">
        <v>312</v>
      </c>
      <c r="D38" s="161">
        <v>0</v>
      </c>
    </row>
    <row r="39" spans="2:4" s="4" customFormat="1" ht="12.75">
      <c r="B39" s="130" t="s">
        <v>871</v>
      </c>
      <c r="C39" s="130" t="s">
        <v>265</v>
      </c>
      <c r="D39" s="162">
        <f>SUM(D34+D35+D36+D37+D38)</f>
        <v>34.800000000000004</v>
      </c>
    </row>
    <row r="40" spans="2:4" s="4" customFormat="1" ht="12.75">
      <c r="B40" s="180"/>
      <c r="C40" s="180"/>
      <c r="D40" s="183"/>
    </row>
    <row r="41" spans="2:4" s="21" customFormat="1" ht="18.75" customHeight="1">
      <c r="B41" s="326" t="s">
        <v>286</v>
      </c>
      <c r="C41" s="326"/>
      <c r="D41" s="326"/>
    </row>
    <row r="42" spans="2:4" s="21" customFormat="1" ht="8.25" customHeight="1">
      <c r="B42" s="132"/>
      <c r="C42" s="132"/>
      <c r="D42" s="133"/>
    </row>
    <row r="43" spans="2:4" s="2" customFormat="1" ht="12" customHeight="1">
      <c r="B43" s="328" t="s">
        <v>266</v>
      </c>
      <c r="C43" s="328"/>
      <c r="D43" s="163" t="s">
        <v>377</v>
      </c>
    </row>
    <row r="44" spans="2:4" s="2" customFormat="1" ht="12.75" customHeight="1">
      <c r="B44" s="329" t="s">
        <v>267</v>
      </c>
      <c r="C44" s="329"/>
      <c r="D44" s="161">
        <f>D25</f>
        <v>44</v>
      </c>
    </row>
    <row r="45" spans="1:4" s="21" customFormat="1" ht="18" customHeight="1">
      <c r="A45" s="2"/>
      <c r="B45" s="132"/>
      <c r="C45" s="132"/>
      <c r="D45" s="244"/>
    </row>
    <row r="46" spans="1:4" s="2" customFormat="1" ht="12" customHeight="1">
      <c r="A46" s="21"/>
      <c r="B46" s="132"/>
      <c r="C46" s="132"/>
      <c r="D46" s="133"/>
    </row>
    <row r="47" spans="2:4" s="2" customFormat="1" ht="12" customHeight="1">
      <c r="B47" s="326" t="s">
        <v>268</v>
      </c>
      <c r="C47" s="326"/>
      <c r="D47" s="326"/>
    </row>
    <row r="48" spans="2:4" s="2" customFormat="1" ht="12" customHeight="1">
      <c r="B48" s="132"/>
      <c r="C48" s="132"/>
      <c r="D48" s="133"/>
    </row>
    <row r="49" spans="2:4" s="2" customFormat="1" ht="12" customHeight="1">
      <c r="B49" s="130" t="s">
        <v>0</v>
      </c>
      <c r="C49" s="130" t="s">
        <v>264</v>
      </c>
      <c r="D49" s="163" t="s">
        <v>376</v>
      </c>
    </row>
    <row r="50" spans="2:4" s="2" customFormat="1" ht="12" customHeight="1">
      <c r="B50" s="91" t="s">
        <v>782</v>
      </c>
      <c r="C50" s="91" t="s">
        <v>269</v>
      </c>
      <c r="D50" s="161">
        <f>SUM(+D60+D59+D58+D57+D51)</f>
        <v>86.8</v>
      </c>
    </row>
    <row r="51" spans="2:4" s="2" customFormat="1" ht="12" customHeight="1">
      <c r="B51" s="91" t="s">
        <v>830</v>
      </c>
      <c r="C51" s="91" t="s">
        <v>428</v>
      </c>
      <c r="D51" s="161">
        <f>SUM(D56+D55+D54+D53+D52)</f>
        <v>37.3</v>
      </c>
    </row>
    <row r="52" spans="2:4" s="2" customFormat="1" ht="12" customHeight="1">
      <c r="B52" s="91" t="s">
        <v>831</v>
      </c>
      <c r="C52" s="91" t="s">
        <v>207</v>
      </c>
      <c r="D52" s="161">
        <v>4.3</v>
      </c>
    </row>
    <row r="53" spans="2:4" s="2" customFormat="1" ht="12" customHeight="1">
      <c r="B53" s="91" t="s">
        <v>832</v>
      </c>
      <c r="C53" s="91" t="s">
        <v>210</v>
      </c>
      <c r="D53" s="161">
        <v>14.5</v>
      </c>
    </row>
    <row r="54" spans="2:4" s="2" customFormat="1" ht="12" customHeight="1">
      <c r="B54" s="91" t="s">
        <v>833</v>
      </c>
      <c r="C54" s="91" t="s">
        <v>212</v>
      </c>
      <c r="D54" s="161">
        <v>1.5</v>
      </c>
    </row>
    <row r="55" spans="2:4" s="2" customFormat="1" ht="12" customHeight="1">
      <c r="B55" s="91" t="s">
        <v>834</v>
      </c>
      <c r="C55" s="91" t="s">
        <v>214</v>
      </c>
      <c r="D55" s="161">
        <v>14</v>
      </c>
    </row>
    <row r="56" spans="2:4" s="2" customFormat="1" ht="12" customHeight="1">
      <c r="B56" s="91" t="s">
        <v>835</v>
      </c>
      <c r="C56" s="91" t="s">
        <v>206</v>
      </c>
      <c r="D56" s="161">
        <v>3</v>
      </c>
    </row>
    <row r="57" spans="1:4" s="2" customFormat="1" ht="18" customHeight="1">
      <c r="A57" s="23"/>
      <c r="B57" s="91" t="s">
        <v>836</v>
      </c>
      <c r="C57" s="91" t="s">
        <v>270</v>
      </c>
      <c r="D57" s="161">
        <v>3.5</v>
      </c>
    </row>
    <row r="58" spans="2:4" s="2" customFormat="1" ht="18" customHeight="1">
      <c r="B58" s="91" t="s">
        <v>837</v>
      </c>
      <c r="C58" s="91" t="s">
        <v>623</v>
      </c>
      <c r="D58" s="161">
        <v>8</v>
      </c>
    </row>
    <row r="59" spans="2:4" s="2" customFormat="1" ht="18" customHeight="1">
      <c r="B59" s="91" t="s">
        <v>838</v>
      </c>
      <c r="C59" s="91" t="s">
        <v>378</v>
      </c>
      <c r="D59" s="161">
        <v>35</v>
      </c>
    </row>
    <row r="60" spans="2:4" s="2" customFormat="1" ht="18" customHeight="1">
      <c r="B60" s="91" t="s">
        <v>839</v>
      </c>
      <c r="C60" s="91" t="s">
        <v>429</v>
      </c>
      <c r="D60" s="161">
        <v>3</v>
      </c>
    </row>
    <row r="61" spans="2:4" s="2" customFormat="1" ht="16.5" customHeight="1">
      <c r="B61" s="91" t="s">
        <v>783</v>
      </c>
      <c r="C61" s="91" t="s">
        <v>271</v>
      </c>
      <c r="D61" s="161">
        <f>SUM(D62:D71)</f>
        <v>56.5</v>
      </c>
    </row>
    <row r="62" spans="2:10" s="2" customFormat="1" ht="17.25" customHeight="1">
      <c r="B62" s="91" t="s">
        <v>840</v>
      </c>
      <c r="C62" s="91" t="s">
        <v>287</v>
      </c>
      <c r="D62" s="161">
        <v>3</v>
      </c>
      <c r="J62" s="1"/>
    </row>
    <row r="63" spans="1:4" s="2" customFormat="1" ht="17.25" customHeight="1">
      <c r="A63" s="23"/>
      <c r="B63" s="91" t="s">
        <v>841</v>
      </c>
      <c r="C63" s="91" t="s">
        <v>430</v>
      </c>
      <c r="D63" s="161">
        <v>14</v>
      </c>
    </row>
    <row r="64" spans="2:4" s="2" customFormat="1" ht="25.5" customHeight="1">
      <c r="B64" s="91" t="s">
        <v>842</v>
      </c>
      <c r="C64" s="91" t="s">
        <v>431</v>
      </c>
      <c r="D64" s="161">
        <v>4</v>
      </c>
    </row>
    <row r="65" spans="2:4" s="2" customFormat="1" ht="29.25" customHeight="1">
      <c r="B65" s="91" t="s">
        <v>843</v>
      </c>
      <c r="C65" s="91" t="s">
        <v>878</v>
      </c>
      <c r="D65" s="161">
        <f>4+1</f>
        <v>5</v>
      </c>
    </row>
    <row r="66" spans="2:4" s="2" customFormat="1" ht="16.5" customHeight="1">
      <c r="B66" s="91" t="s">
        <v>844</v>
      </c>
      <c r="C66" s="91" t="s">
        <v>432</v>
      </c>
      <c r="D66" s="161">
        <v>0.5</v>
      </c>
    </row>
    <row r="67" spans="2:4" s="2" customFormat="1" ht="16.5" customHeight="1">
      <c r="B67" s="91" t="s">
        <v>845</v>
      </c>
      <c r="C67" s="91" t="s">
        <v>433</v>
      </c>
      <c r="D67" s="161">
        <f>4+2+3.5+1-4.5</f>
        <v>6</v>
      </c>
    </row>
    <row r="68" spans="2:4" s="2" customFormat="1" ht="16.5" customHeight="1">
      <c r="B68" s="91" t="s">
        <v>846</v>
      </c>
      <c r="C68" s="91" t="s">
        <v>434</v>
      </c>
      <c r="D68" s="161">
        <v>4</v>
      </c>
    </row>
    <row r="69" spans="2:4" s="2" customFormat="1" ht="12" customHeight="1">
      <c r="B69" s="91" t="s">
        <v>847</v>
      </c>
      <c r="C69" s="91" t="s">
        <v>435</v>
      </c>
      <c r="D69" s="161">
        <v>6</v>
      </c>
    </row>
    <row r="70" spans="2:4" s="2" customFormat="1" ht="12" customHeight="1">
      <c r="B70" s="91" t="s">
        <v>848</v>
      </c>
      <c r="C70" s="91" t="s">
        <v>223</v>
      </c>
      <c r="D70" s="161">
        <v>0.9</v>
      </c>
    </row>
    <row r="71" spans="2:4" s="2" customFormat="1" ht="12" customHeight="1">
      <c r="B71" s="91" t="s">
        <v>849</v>
      </c>
      <c r="C71" s="91" t="s">
        <v>881</v>
      </c>
      <c r="D71" s="161">
        <f>8.6+4.5</f>
        <v>13.1</v>
      </c>
    </row>
    <row r="72" spans="2:4" s="2" customFormat="1" ht="12" customHeight="1">
      <c r="B72" s="91" t="s">
        <v>850</v>
      </c>
      <c r="C72" s="91" t="s">
        <v>272</v>
      </c>
      <c r="D72" s="161">
        <f>SUM(D73:D75)</f>
        <v>8.9</v>
      </c>
    </row>
    <row r="73" spans="2:4" s="2" customFormat="1" ht="12" customHeight="1">
      <c r="B73" s="91" t="s">
        <v>851</v>
      </c>
      <c r="C73" s="91" t="s">
        <v>273</v>
      </c>
      <c r="D73" s="161">
        <v>5</v>
      </c>
    </row>
    <row r="74" spans="2:4" s="2" customFormat="1" ht="12" customHeight="1">
      <c r="B74" s="91" t="s">
        <v>852</v>
      </c>
      <c r="C74" s="91" t="s">
        <v>379</v>
      </c>
      <c r="D74" s="161">
        <f>2+0.4</f>
        <v>2.4</v>
      </c>
    </row>
    <row r="75" spans="2:4" s="2" customFormat="1" ht="12" customHeight="1">
      <c r="B75" s="91" t="s">
        <v>853</v>
      </c>
      <c r="C75" s="91" t="s">
        <v>313</v>
      </c>
      <c r="D75" s="161">
        <v>1.5</v>
      </c>
    </row>
    <row r="76" spans="2:4" s="2" customFormat="1" ht="12" customHeight="1">
      <c r="B76" s="91" t="s">
        <v>854</v>
      </c>
      <c r="C76" s="91" t="s">
        <v>274</v>
      </c>
      <c r="D76" s="161">
        <f>SUM(D77,D89,D90,)</f>
        <v>42</v>
      </c>
    </row>
    <row r="77" spans="2:8" s="2" customFormat="1" ht="19.5" customHeight="1">
      <c r="B77" s="91" t="s">
        <v>855</v>
      </c>
      <c r="C77" s="91" t="s">
        <v>275</v>
      </c>
      <c r="D77" s="161">
        <f>SUM(D88+D87+D86+D85+D84+D83+D82+D81+D80+D79+D78)</f>
        <v>37.3</v>
      </c>
      <c r="E77" s="192"/>
      <c r="H77" s="106"/>
    </row>
    <row r="78" spans="2:4" s="2" customFormat="1" ht="12" customHeight="1">
      <c r="B78" s="91" t="s">
        <v>856</v>
      </c>
      <c r="C78" s="91" t="s">
        <v>207</v>
      </c>
      <c r="D78" s="161">
        <v>1</v>
      </c>
    </row>
    <row r="79" spans="2:8" s="2" customFormat="1" ht="32.25" customHeight="1">
      <c r="B79" s="91" t="s">
        <v>857</v>
      </c>
      <c r="C79" s="91" t="s">
        <v>208</v>
      </c>
      <c r="D79" s="161">
        <v>1</v>
      </c>
      <c r="E79" s="1"/>
      <c r="H79" s="1"/>
    </row>
    <row r="80" spans="2:4" s="2" customFormat="1" ht="12" customHeight="1">
      <c r="B80" s="91" t="s">
        <v>858</v>
      </c>
      <c r="C80" s="91" t="s">
        <v>209</v>
      </c>
      <c r="D80" s="161">
        <v>1</v>
      </c>
    </row>
    <row r="81" spans="2:4" s="2" customFormat="1" ht="12" customHeight="1">
      <c r="B81" s="91" t="s">
        <v>859</v>
      </c>
      <c r="C81" s="91" t="s">
        <v>210</v>
      </c>
      <c r="D81" s="161">
        <f>19+7.3</f>
        <v>26.3</v>
      </c>
    </row>
    <row r="82" spans="2:4" s="2" customFormat="1" ht="12" customHeight="1">
      <c r="B82" s="91" t="s">
        <v>860</v>
      </c>
      <c r="C82" s="91" t="s">
        <v>211</v>
      </c>
      <c r="D82" s="161">
        <v>1</v>
      </c>
    </row>
    <row r="83" spans="2:4" s="2" customFormat="1" ht="12" customHeight="1">
      <c r="B83" s="91" t="s">
        <v>861</v>
      </c>
      <c r="C83" s="91" t="s">
        <v>212</v>
      </c>
      <c r="D83" s="161">
        <v>2</v>
      </c>
    </row>
    <row r="84" spans="2:4" s="2" customFormat="1" ht="12" customHeight="1">
      <c r="B84" s="91" t="s">
        <v>862</v>
      </c>
      <c r="C84" s="91" t="s">
        <v>213</v>
      </c>
      <c r="D84" s="161">
        <v>1</v>
      </c>
    </row>
    <row r="85" spans="1:4" s="2" customFormat="1" ht="12" customHeight="1">
      <c r="A85" s="72"/>
      <c r="B85" s="91" t="s">
        <v>863</v>
      </c>
      <c r="C85" s="91" t="s">
        <v>214</v>
      </c>
      <c r="D85" s="161">
        <v>1</v>
      </c>
    </row>
    <row r="86" spans="1:4" s="2" customFormat="1" ht="12" customHeight="1">
      <c r="A86" s="72"/>
      <c r="B86" s="91" t="s">
        <v>864</v>
      </c>
      <c r="C86" s="91" t="s">
        <v>215</v>
      </c>
      <c r="D86" s="161">
        <v>1</v>
      </c>
    </row>
    <row r="87" spans="1:4" s="2" customFormat="1" ht="12" customHeight="1">
      <c r="A87" s="72"/>
      <c r="B87" s="91" t="s">
        <v>865</v>
      </c>
      <c r="C87" s="91" t="s">
        <v>216</v>
      </c>
      <c r="D87" s="161">
        <v>1</v>
      </c>
    </row>
    <row r="88" spans="2:8" ht="12" customHeight="1">
      <c r="B88" s="91" t="s">
        <v>866</v>
      </c>
      <c r="C88" s="91" t="s">
        <v>206</v>
      </c>
      <c r="D88" s="161">
        <v>1</v>
      </c>
      <c r="E88" s="103"/>
      <c r="H88" s="103"/>
    </row>
    <row r="89" spans="2:4" ht="12" customHeight="1">
      <c r="B89" s="91" t="s">
        <v>867</v>
      </c>
      <c r="C89" s="91" t="s">
        <v>347</v>
      </c>
      <c r="D89" s="161">
        <v>2.7</v>
      </c>
    </row>
    <row r="90" spans="2:4" ht="12" customHeight="1">
      <c r="B90" s="91" t="s">
        <v>868</v>
      </c>
      <c r="C90" s="91" t="s">
        <v>436</v>
      </c>
      <c r="D90" s="161">
        <v>2</v>
      </c>
    </row>
    <row r="91" spans="2:4" ht="12" customHeight="1">
      <c r="B91" s="91" t="s">
        <v>869</v>
      </c>
      <c r="C91" s="91" t="s">
        <v>217</v>
      </c>
      <c r="D91" s="161">
        <v>2</v>
      </c>
    </row>
    <row r="92" spans="1:4" ht="12" customHeight="1">
      <c r="A92" s="74"/>
      <c r="B92" s="130" t="s">
        <v>870</v>
      </c>
      <c r="C92" s="130" t="s">
        <v>265</v>
      </c>
      <c r="D92" s="162">
        <f>SUM(D50+D61+D72+D76+D91)</f>
        <v>196.20000000000002</v>
      </c>
    </row>
    <row r="93" ht="12" customHeight="1">
      <c r="C93" s="72" t="s">
        <v>437</v>
      </c>
    </row>
  </sheetData>
  <sheetProtection/>
  <mergeCells count="9">
    <mergeCell ref="C1:D1"/>
    <mergeCell ref="C2:D2"/>
    <mergeCell ref="C3:D3"/>
    <mergeCell ref="B47:D47"/>
    <mergeCell ref="A5:D5"/>
    <mergeCell ref="A6:D6"/>
    <mergeCell ref="B41:D41"/>
    <mergeCell ref="B43:C43"/>
    <mergeCell ref="B44:C44"/>
  </mergeCells>
  <printOptions/>
  <pageMargins left="0.1968503937007874" right="0" top="0.35433070866141736" bottom="0"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L78"/>
  <sheetViews>
    <sheetView zoomScalePageLayoutView="0" workbookViewId="0" topLeftCell="A1">
      <selection activeCell="E54" sqref="E54"/>
    </sheetView>
  </sheetViews>
  <sheetFormatPr defaultColWidth="9.140625" defaultRowHeight="12.75"/>
  <cols>
    <col min="1" max="1" width="1.7109375" style="210" customWidth="1"/>
    <col min="2" max="2" width="5.7109375" style="210" customWidth="1"/>
    <col min="3" max="3" width="50.8515625" style="210" customWidth="1"/>
    <col min="4" max="4" width="8.57421875" style="210" customWidth="1"/>
    <col min="5" max="5" width="7.7109375" style="214" customWidth="1"/>
    <col min="6" max="6" width="10.00390625" style="210" customWidth="1"/>
    <col min="7" max="7" width="12.421875" style="210" customWidth="1"/>
    <col min="8" max="8" width="9.140625" style="210" hidden="1" customWidth="1"/>
    <col min="9" max="9" width="9.421875" style="212" customWidth="1"/>
    <col min="10" max="10" width="6.00390625" style="210" customWidth="1"/>
    <col min="11" max="11" width="7.421875" style="210" customWidth="1"/>
    <col min="12" max="16384" width="9.140625" style="210" customWidth="1"/>
  </cols>
  <sheetData>
    <row r="1" spans="3:8" ht="15.75" customHeight="1">
      <c r="C1" s="292" t="s">
        <v>332</v>
      </c>
      <c r="D1" s="292"/>
      <c r="E1" s="292"/>
      <c r="F1" s="292"/>
      <c r="G1" s="292"/>
      <c r="H1" s="211"/>
    </row>
    <row r="2" spans="3:8" ht="15.75" customHeight="1">
      <c r="C2" s="291" t="s">
        <v>917</v>
      </c>
      <c r="D2" s="292"/>
      <c r="E2" s="292"/>
      <c r="F2" s="292"/>
      <c r="G2" s="292"/>
      <c r="H2" s="211"/>
    </row>
    <row r="3" spans="3:7" ht="15.75">
      <c r="C3" s="213"/>
      <c r="D3" s="213"/>
      <c r="E3" s="293" t="s">
        <v>101</v>
      </c>
      <c r="F3" s="293"/>
      <c r="G3" s="293"/>
    </row>
    <row r="4" ht="12.75">
      <c r="G4" s="211"/>
    </row>
    <row r="5" spans="2:7" ht="31.5" customHeight="1">
      <c r="B5" s="295" t="s">
        <v>424</v>
      </c>
      <c r="C5" s="295"/>
      <c r="D5" s="295"/>
      <c r="E5" s="295"/>
      <c r="F5" s="295"/>
      <c r="G5" s="295"/>
    </row>
    <row r="6" ht="12.75">
      <c r="G6" s="214" t="s">
        <v>396</v>
      </c>
    </row>
    <row r="7" spans="2:7" ht="12" customHeight="1">
      <c r="B7" s="287" t="s">
        <v>0</v>
      </c>
      <c r="C7" s="296" t="s">
        <v>102</v>
      </c>
      <c r="D7" s="287" t="s">
        <v>17</v>
      </c>
      <c r="E7" s="289" t="s">
        <v>300</v>
      </c>
      <c r="F7" s="289"/>
      <c r="G7" s="289"/>
    </row>
    <row r="8" spans="2:7" ht="80.25" customHeight="1">
      <c r="B8" s="288"/>
      <c r="C8" s="296"/>
      <c r="D8" s="294"/>
      <c r="E8" s="215" t="s">
        <v>297</v>
      </c>
      <c r="F8" s="215" t="s">
        <v>298</v>
      </c>
      <c r="G8" s="215" t="s">
        <v>299</v>
      </c>
    </row>
    <row r="9" spans="2:7" ht="12.75">
      <c r="B9" s="215">
        <v>1</v>
      </c>
      <c r="C9" s="216">
        <v>2</v>
      </c>
      <c r="D9" s="215">
        <v>3</v>
      </c>
      <c r="E9" s="215">
        <v>4</v>
      </c>
      <c r="F9" s="215">
        <v>5</v>
      </c>
      <c r="G9" s="215">
        <v>6</v>
      </c>
    </row>
    <row r="10" spans="2:12" ht="12" customHeight="1">
      <c r="B10" s="217">
        <v>1</v>
      </c>
      <c r="C10" s="218" t="s">
        <v>246</v>
      </c>
      <c r="D10" s="219">
        <f>+E10+F10+G10</f>
        <v>38.9</v>
      </c>
      <c r="E10" s="220">
        <v>1</v>
      </c>
      <c r="F10" s="219"/>
      <c r="G10" s="219">
        <f>37.3+0.6</f>
        <v>37.9</v>
      </c>
      <c r="I10" s="221"/>
      <c r="J10" s="221"/>
      <c r="K10" s="221"/>
      <c r="L10" s="221"/>
    </row>
    <row r="11" spans="2:12" ht="12" customHeight="1">
      <c r="B11" s="217">
        <v>2</v>
      </c>
      <c r="C11" s="218" t="s">
        <v>125</v>
      </c>
      <c r="D11" s="219">
        <f aca="true" t="shared" si="0" ref="D11:D66">+E11+F11+G11</f>
        <v>47</v>
      </c>
      <c r="E11" s="220">
        <v>1</v>
      </c>
      <c r="F11" s="219"/>
      <c r="G11" s="219">
        <f>43.5+2.5</f>
        <v>46</v>
      </c>
      <c r="I11" s="221"/>
      <c r="J11" s="221"/>
      <c r="K11" s="221"/>
      <c r="L11" s="221"/>
    </row>
    <row r="12" spans="2:12" ht="12" customHeight="1">
      <c r="B12" s="217">
        <v>3</v>
      </c>
      <c r="C12" s="40" t="s">
        <v>910</v>
      </c>
      <c r="D12" s="219">
        <f t="shared" si="0"/>
        <v>45.1</v>
      </c>
      <c r="E12" s="220">
        <v>1.3</v>
      </c>
      <c r="F12" s="219"/>
      <c r="G12" s="219">
        <f>37.1+6.7</f>
        <v>43.800000000000004</v>
      </c>
      <c r="I12" s="221"/>
      <c r="J12" s="221"/>
      <c r="K12" s="221"/>
      <c r="L12" s="221"/>
    </row>
    <row r="13" spans="2:12" ht="12" customHeight="1">
      <c r="B13" s="217">
        <v>4</v>
      </c>
      <c r="C13" s="40" t="s">
        <v>911</v>
      </c>
      <c r="D13" s="219">
        <f t="shared" si="0"/>
        <v>46.800000000000004</v>
      </c>
      <c r="E13" s="220">
        <v>2.2</v>
      </c>
      <c r="F13" s="219">
        <v>1</v>
      </c>
      <c r="G13" s="219">
        <v>43.6</v>
      </c>
      <c r="I13" s="221"/>
      <c r="J13" s="221"/>
      <c r="K13" s="221"/>
      <c r="L13" s="221"/>
    </row>
    <row r="14" spans="2:12" ht="12" customHeight="1">
      <c r="B14" s="217">
        <v>5</v>
      </c>
      <c r="C14" s="40" t="s">
        <v>103</v>
      </c>
      <c r="D14" s="219">
        <f t="shared" si="0"/>
        <v>56</v>
      </c>
      <c r="E14" s="220">
        <v>1</v>
      </c>
      <c r="F14" s="219"/>
      <c r="G14" s="219">
        <v>55</v>
      </c>
      <c r="I14" s="221"/>
      <c r="J14" s="221"/>
      <c r="K14" s="221"/>
      <c r="L14" s="221"/>
    </row>
    <row r="15" spans="2:12" ht="12" customHeight="1">
      <c r="B15" s="217">
        <v>6</v>
      </c>
      <c r="C15" s="218" t="s">
        <v>104</v>
      </c>
      <c r="D15" s="219">
        <f t="shared" si="0"/>
        <v>33.4</v>
      </c>
      <c r="E15" s="220">
        <v>1.4</v>
      </c>
      <c r="F15" s="219"/>
      <c r="G15" s="219">
        <v>32</v>
      </c>
      <c r="H15" s="222"/>
      <c r="I15" s="221"/>
      <c r="J15" s="221"/>
      <c r="K15" s="221"/>
      <c r="L15" s="221"/>
    </row>
    <row r="16" spans="2:12" ht="12" customHeight="1">
      <c r="B16" s="217">
        <v>7</v>
      </c>
      <c r="C16" s="218" t="s">
        <v>126</v>
      </c>
      <c r="D16" s="219">
        <f t="shared" si="0"/>
        <v>52.300000000000004</v>
      </c>
      <c r="E16" s="220">
        <v>1.2</v>
      </c>
      <c r="F16" s="219"/>
      <c r="G16" s="219">
        <v>51.1</v>
      </c>
      <c r="H16" s="222"/>
      <c r="I16" s="221"/>
      <c r="J16" s="221"/>
      <c r="K16" s="221"/>
      <c r="L16" s="221"/>
    </row>
    <row r="17" spans="2:12" ht="12" customHeight="1">
      <c r="B17" s="217">
        <v>8</v>
      </c>
      <c r="C17" s="246" t="s">
        <v>114</v>
      </c>
      <c r="D17" s="219">
        <f t="shared" si="0"/>
        <v>36.1</v>
      </c>
      <c r="E17" s="220">
        <v>0.1</v>
      </c>
      <c r="F17" s="219"/>
      <c r="G17" s="219">
        <v>36</v>
      </c>
      <c r="H17" s="222"/>
      <c r="I17" s="221"/>
      <c r="J17" s="221"/>
      <c r="K17" s="221"/>
      <c r="L17" s="221"/>
    </row>
    <row r="18" spans="2:12" ht="12" customHeight="1">
      <c r="B18" s="217">
        <v>9</v>
      </c>
      <c r="C18" s="218" t="s">
        <v>106</v>
      </c>
      <c r="D18" s="219">
        <f t="shared" si="0"/>
        <v>13</v>
      </c>
      <c r="E18" s="220">
        <v>7</v>
      </c>
      <c r="F18" s="219">
        <f>9-3</f>
        <v>6</v>
      </c>
      <c r="G18" s="219"/>
      <c r="H18" s="222"/>
      <c r="I18" s="221"/>
      <c r="J18" s="221"/>
      <c r="K18" s="221"/>
      <c r="L18" s="221"/>
    </row>
    <row r="19" spans="2:12" ht="12" customHeight="1">
      <c r="B19" s="217">
        <v>10</v>
      </c>
      <c r="C19" s="218" t="s">
        <v>115</v>
      </c>
      <c r="D19" s="219">
        <f t="shared" si="0"/>
        <v>6.300000000000001</v>
      </c>
      <c r="E19" s="220">
        <f>0.8-0.6</f>
        <v>0.20000000000000007</v>
      </c>
      <c r="F19" s="219">
        <f>4-1.9</f>
        <v>2.1</v>
      </c>
      <c r="G19" s="219">
        <v>4</v>
      </c>
      <c r="H19" s="222"/>
      <c r="I19" s="221"/>
      <c r="J19" s="221"/>
      <c r="K19" s="221"/>
      <c r="L19" s="221"/>
    </row>
    <row r="20" spans="2:12" ht="12" customHeight="1">
      <c r="B20" s="217">
        <v>11</v>
      </c>
      <c r="C20" s="246" t="s">
        <v>414</v>
      </c>
      <c r="D20" s="219">
        <f t="shared" si="0"/>
        <v>26</v>
      </c>
      <c r="E20" s="220">
        <f>0.5+0.7</f>
        <v>1.2</v>
      </c>
      <c r="F20" s="219">
        <f>1.6-0.6</f>
        <v>1</v>
      </c>
      <c r="G20" s="219">
        <v>23.8</v>
      </c>
      <c r="H20" s="222"/>
      <c r="I20" s="221"/>
      <c r="J20" s="221"/>
      <c r="K20" s="221"/>
      <c r="L20" s="221"/>
    </row>
    <row r="21" spans="2:12" ht="12" customHeight="1">
      <c r="B21" s="217">
        <v>12</v>
      </c>
      <c r="C21" s="246" t="s">
        <v>415</v>
      </c>
      <c r="D21" s="219">
        <f t="shared" si="0"/>
        <v>1.7</v>
      </c>
      <c r="E21" s="220">
        <v>0.2</v>
      </c>
      <c r="F21" s="219">
        <f>2-1</f>
        <v>1</v>
      </c>
      <c r="G21" s="219">
        <v>0.5</v>
      </c>
      <c r="H21" s="222"/>
      <c r="I21" s="221"/>
      <c r="J21" s="221"/>
      <c r="K21" s="221"/>
      <c r="L21" s="221"/>
    </row>
    <row r="22" spans="2:12" ht="12" customHeight="1">
      <c r="B22" s="217">
        <v>13</v>
      </c>
      <c r="C22" s="246" t="s">
        <v>107</v>
      </c>
      <c r="D22" s="219">
        <f t="shared" si="0"/>
        <v>15.399999999999999</v>
      </c>
      <c r="E22" s="220">
        <f>0.2-0.1</f>
        <v>0.1</v>
      </c>
      <c r="F22" s="219">
        <f>3.8+0.8</f>
        <v>4.6</v>
      </c>
      <c r="G22" s="219">
        <f>9.6+1.1</f>
        <v>10.7</v>
      </c>
      <c r="H22" s="222"/>
      <c r="I22" s="221"/>
      <c r="J22" s="221"/>
      <c r="K22" s="221"/>
      <c r="L22" s="221"/>
    </row>
    <row r="23" spans="2:12" ht="12" customHeight="1">
      <c r="B23" s="217">
        <v>14</v>
      </c>
      <c r="C23" s="218" t="s">
        <v>416</v>
      </c>
      <c r="D23" s="219">
        <f t="shared" si="0"/>
        <v>2</v>
      </c>
      <c r="E23" s="220">
        <v>0.3</v>
      </c>
      <c r="F23" s="219">
        <f>3-2</f>
        <v>1</v>
      </c>
      <c r="G23" s="219">
        <f>1-0.3</f>
        <v>0.7</v>
      </c>
      <c r="H23" s="222"/>
      <c r="I23" s="221"/>
      <c r="J23" s="221"/>
      <c r="K23" s="221"/>
      <c r="L23" s="221"/>
    </row>
    <row r="24" spans="2:12" ht="12" customHeight="1">
      <c r="B24" s="217">
        <v>15</v>
      </c>
      <c r="C24" s="246" t="s">
        <v>352</v>
      </c>
      <c r="D24" s="219">
        <f t="shared" si="0"/>
        <v>24.1</v>
      </c>
      <c r="E24" s="220">
        <f>2+0.6</f>
        <v>2.6</v>
      </c>
      <c r="F24" s="219">
        <v>20</v>
      </c>
      <c r="G24" s="219">
        <f>0.9+0.6</f>
        <v>1.5</v>
      </c>
      <c r="H24" s="222"/>
      <c r="I24" s="221"/>
      <c r="J24" s="221"/>
      <c r="K24" s="221"/>
      <c r="L24" s="221"/>
    </row>
    <row r="25" spans="2:12" ht="12" customHeight="1">
      <c r="B25" s="217">
        <v>16</v>
      </c>
      <c r="C25" s="218" t="s">
        <v>354</v>
      </c>
      <c r="D25" s="219">
        <f t="shared" si="0"/>
        <v>5.1</v>
      </c>
      <c r="E25" s="220">
        <v>0.1</v>
      </c>
      <c r="F25" s="219">
        <v>3</v>
      </c>
      <c r="G25" s="219">
        <v>2</v>
      </c>
      <c r="H25" s="222"/>
      <c r="I25" s="221"/>
      <c r="J25" s="221"/>
      <c r="K25" s="221"/>
      <c r="L25" s="221"/>
    </row>
    <row r="26" spans="2:12" ht="12" customHeight="1">
      <c r="B26" s="217">
        <v>17</v>
      </c>
      <c r="C26" s="246" t="s">
        <v>353</v>
      </c>
      <c r="D26" s="219">
        <f t="shared" si="0"/>
        <v>9.6</v>
      </c>
      <c r="E26" s="220">
        <v>3</v>
      </c>
      <c r="F26" s="219"/>
      <c r="G26" s="219">
        <f>6+0.6</f>
        <v>6.6</v>
      </c>
      <c r="H26" s="222"/>
      <c r="I26" s="221"/>
      <c r="J26" s="221"/>
      <c r="K26" s="221"/>
      <c r="L26" s="221"/>
    </row>
    <row r="27" spans="2:12" ht="12" customHeight="1">
      <c r="B27" s="217">
        <v>18</v>
      </c>
      <c r="C27" s="246" t="s">
        <v>108</v>
      </c>
      <c r="D27" s="219">
        <f t="shared" si="0"/>
        <v>1.4</v>
      </c>
      <c r="E27" s="220">
        <v>0.1</v>
      </c>
      <c r="F27" s="219">
        <f>0.7-0.4</f>
        <v>0.29999999999999993</v>
      </c>
      <c r="G27" s="219">
        <f>1.5-0.5</f>
        <v>1</v>
      </c>
      <c r="H27" s="222"/>
      <c r="I27" s="221"/>
      <c r="J27" s="221"/>
      <c r="K27" s="221"/>
      <c r="L27" s="221"/>
    </row>
    <row r="28" spans="2:12" ht="12" customHeight="1">
      <c r="B28" s="217">
        <v>19</v>
      </c>
      <c r="C28" s="246" t="s">
        <v>417</v>
      </c>
      <c r="D28" s="219">
        <f t="shared" si="0"/>
        <v>42.2</v>
      </c>
      <c r="E28" s="220">
        <f>0.6-0.3</f>
        <v>0.3</v>
      </c>
      <c r="F28" s="219">
        <f>1.4-0.5</f>
        <v>0.8999999999999999</v>
      </c>
      <c r="G28" s="219">
        <f>36+5</f>
        <v>41</v>
      </c>
      <c r="H28" s="222"/>
      <c r="I28" s="221"/>
      <c r="J28" s="221"/>
      <c r="K28" s="221"/>
      <c r="L28" s="221"/>
    </row>
    <row r="29" spans="2:12" ht="12" customHeight="1">
      <c r="B29" s="217">
        <v>20</v>
      </c>
      <c r="C29" s="223" t="s">
        <v>418</v>
      </c>
      <c r="D29" s="219">
        <f t="shared" si="0"/>
        <v>0.2</v>
      </c>
      <c r="E29" s="220">
        <v>0.1</v>
      </c>
      <c r="F29" s="219">
        <f>0.2-0.1</f>
        <v>0.1</v>
      </c>
      <c r="G29" s="219"/>
      <c r="H29" s="224"/>
      <c r="I29" s="221"/>
      <c r="J29" s="221"/>
      <c r="K29" s="221"/>
      <c r="L29" s="221"/>
    </row>
    <row r="30" spans="2:12" s="226" customFormat="1" ht="12" customHeight="1">
      <c r="B30" s="217">
        <v>21</v>
      </c>
      <c r="C30" s="223" t="s">
        <v>109</v>
      </c>
      <c r="D30" s="219">
        <f t="shared" si="0"/>
        <v>2.2</v>
      </c>
      <c r="E30" s="220">
        <v>0.1</v>
      </c>
      <c r="F30" s="219">
        <f>0.6+0.4</f>
        <v>1</v>
      </c>
      <c r="G30" s="219">
        <f>0.6+0.5</f>
        <v>1.1</v>
      </c>
      <c r="H30" s="225"/>
      <c r="I30" s="221"/>
      <c r="J30" s="221"/>
      <c r="K30" s="221"/>
      <c r="L30" s="221"/>
    </row>
    <row r="31" spans="2:12" s="226" customFormat="1" ht="12" customHeight="1">
      <c r="B31" s="217">
        <v>22</v>
      </c>
      <c r="C31" s="223" t="s">
        <v>419</v>
      </c>
      <c r="D31" s="219">
        <f t="shared" si="0"/>
        <v>0.7999999999999999</v>
      </c>
      <c r="E31" s="220">
        <v>0.1</v>
      </c>
      <c r="F31" s="219">
        <f>0.4+0.3</f>
        <v>0.7</v>
      </c>
      <c r="G31" s="219"/>
      <c r="I31" s="221"/>
      <c r="J31" s="221"/>
      <c r="K31" s="221"/>
      <c r="L31" s="221"/>
    </row>
    <row r="32" spans="2:12" s="226" customFormat="1" ht="12" customHeight="1">
      <c r="B32" s="217">
        <v>23</v>
      </c>
      <c r="C32" s="246" t="s">
        <v>293</v>
      </c>
      <c r="D32" s="219">
        <f t="shared" si="0"/>
        <v>68.2</v>
      </c>
      <c r="E32" s="220">
        <v>0.2</v>
      </c>
      <c r="F32" s="219">
        <f>21+8.6+6.9</f>
        <v>36.5</v>
      </c>
      <c r="G32" s="219">
        <f>29.8+1.7</f>
        <v>31.5</v>
      </c>
      <c r="I32" s="221"/>
      <c r="J32" s="221"/>
      <c r="K32" s="221"/>
      <c r="L32" s="221"/>
    </row>
    <row r="33" spans="2:12" s="226" customFormat="1" ht="12" customHeight="1">
      <c r="B33" s="217">
        <v>24</v>
      </c>
      <c r="C33" s="218" t="s">
        <v>118</v>
      </c>
      <c r="D33" s="219">
        <f t="shared" si="0"/>
        <v>11</v>
      </c>
      <c r="E33" s="220"/>
      <c r="F33" s="219">
        <f>4+1.5</f>
        <v>5.5</v>
      </c>
      <c r="G33" s="219">
        <f>6.5-1</f>
        <v>5.5</v>
      </c>
      <c r="I33" s="221"/>
      <c r="J33" s="221"/>
      <c r="K33" s="221"/>
      <c r="L33" s="221"/>
    </row>
    <row r="34" spans="2:12" s="226" customFormat="1" ht="12" customHeight="1">
      <c r="B34" s="217">
        <v>25</v>
      </c>
      <c r="C34" s="227" t="s">
        <v>127</v>
      </c>
      <c r="D34" s="219">
        <f t="shared" si="0"/>
        <v>37.1</v>
      </c>
      <c r="E34" s="220"/>
      <c r="F34" s="219"/>
      <c r="G34" s="219">
        <v>37.1</v>
      </c>
      <c r="I34" s="221"/>
      <c r="J34" s="221"/>
      <c r="K34" s="221"/>
      <c r="L34" s="221"/>
    </row>
    <row r="35" spans="2:12" s="226" customFormat="1" ht="12" customHeight="1">
      <c r="B35" s="217">
        <v>26</v>
      </c>
      <c r="C35" s="227" t="s">
        <v>116</v>
      </c>
      <c r="D35" s="219">
        <f t="shared" si="0"/>
        <v>51.3</v>
      </c>
      <c r="E35" s="220"/>
      <c r="F35" s="219">
        <v>0.3</v>
      </c>
      <c r="G35" s="219">
        <f>43+8</f>
        <v>51</v>
      </c>
      <c r="I35" s="221"/>
      <c r="J35" s="221"/>
      <c r="K35" s="221"/>
      <c r="L35" s="221"/>
    </row>
    <row r="36" spans="2:12" s="226" customFormat="1" ht="12" customHeight="1">
      <c r="B36" s="217">
        <v>27</v>
      </c>
      <c r="C36" s="218" t="s">
        <v>117</v>
      </c>
      <c r="D36" s="219">
        <f t="shared" si="0"/>
        <v>63.3</v>
      </c>
      <c r="E36" s="220">
        <v>0.1</v>
      </c>
      <c r="F36" s="219">
        <f>3.7+2.5</f>
        <v>6.2</v>
      </c>
      <c r="G36" s="219">
        <v>57</v>
      </c>
      <c r="I36" s="221"/>
      <c r="J36" s="221"/>
      <c r="K36" s="221"/>
      <c r="L36" s="221"/>
    </row>
    <row r="37" spans="2:12" s="226" customFormat="1" ht="12" customHeight="1">
      <c r="B37" s="217">
        <v>28</v>
      </c>
      <c r="C37" s="218" t="s">
        <v>294</v>
      </c>
      <c r="D37" s="219">
        <f t="shared" si="0"/>
        <v>86</v>
      </c>
      <c r="E37" s="220">
        <v>40</v>
      </c>
      <c r="F37" s="219">
        <v>30</v>
      </c>
      <c r="G37" s="219">
        <v>16</v>
      </c>
      <c r="I37" s="221"/>
      <c r="J37" s="221"/>
      <c r="K37" s="221"/>
      <c r="L37" s="221"/>
    </row>
    <row r="38" spans="2:12" s="226" customFormat="1" ht="12" customHeight="1">
      <c r="B38" s="217">
        <v>29</v>
      </c>
      <c r="C38" s="227" t="s">
        <v>219</v>
      </c>
      <c r="D38" s="219">
        <f t="shared" si="0"/>
        <v>19.8</v>
      </c>
      <c r="E38" s="220">
        <v>1.3</v>
      </c>
      <c r="F38" s="219">
        <v>18.5</v>
      </c>
      <c r="G38" s="219"/>
      <c r="I38" s="221"/>
      <c r="J38" s="221"/>
      <c r="K38" s="221"/>
      <c r="L38" s="221"/>
    </row>
    <row r="39" spans="2:12" s="226" customFormat="1" ht="12" customHeight="1">
      <c r="B39" s="217">
        <v>30</v>
      </c>
      <c r="C39" s="227" t="s">
        <v>111</v>
      </c>
      <c r="D39" s="219">
        <f t="shared" si="0"/>
        <v>21</v>
      </c>
      <c r="E39" s="220">
        <f>10+1</f>
        <v>11</v>
      </c>
      <c r="F39" s="219">
        <v>10</v>
      </c>
      <c r="G39" s="219"/>
      <c r="I39" s="221"/>
      <c r="J39" s="221"/>
      <c r="K39" s="221"/>
      <c r="L39" s="221"/>
    </row>
    <row r="40" spans="2:12" s="226" customFormat="1" ht="12" customHeight="1">
      <c r="B40" s="217">
        <v>31</v>
      </c>
      <c r="C40" s="247" t="s">
        <v>119</v>
      </c>
      <c r="D40" s="219">
        <f t="shared" si="0"/>
        <v>0.6000000000000001</v>
      </c>
      <c r="E40" s="220">
        <f>0.6-0.3</f>
        <v>0.3</v>
      </c>
      <c r="F40" s="219">
        <f>0.8-0.5</f>
        <v>0.30000000000000004</v>
      </c>
      <c r="G40" s="219"/>
      <c r="I40" s="221"/>
      <c r="J40" s="221"/>
      <c r="K40" s="221"/>
      <c r="L40" s="221"/>
    </row>
    <row r="41" spans="2:12" s="226" customFormat="1" ht="12" customHeight="1">
      <c r="B41" s="217">
        <v>32</v>
      </c>
      <c r="C41" s="227" t="s">
        <v>120</v>
      </c>
      <c r="D41" s="219">
        <f t="shared" si="0"/>
        <v>3.8</v>
      </c>
      <c r="E41" s="220">
        <f>1-0.7</f>
        <v>0.30000000000000004</v>
      </c>
      <c r="F41" s="219">
        <f>4-0.5</f>
        <v>3.5</v>
      </c>
      <c r="G41" s="219"/>
      <c r="I41" s="221"/>
      <c r="J41" s="221"/>
      <c r="K41" s="221"/>
      <c r="L41" s="221"/>
    </row>
    <row r="42" spans="2:12" s="226" customFormat="1" ht="12" customHeight="1">
      <c r="B42" s="217">
        <v>33</v>
      </c>
      <c r="C42" s="227" t="s">
        <v>112</v>
      </c>
      <c r="D42" s="219">
        <f t="shared" si="0"/>
        <v>0.2</v>
      </c>
      <c r="E42" s="220">
        <f>0.5-0.3</f>
        <v>0.2</v>
      </c>
      <c r="F42" s="219"/>
      <c r="G42" s="219"/>
      <c r="I42" s="221"/>
      <c r="J42" s="221"/>
      <c r="K42" s="221"/>
      <c r="L42" s="221"/>
    </row>
    <row r="43" spans="2:12" s="226" customFormat="1" ht="12" customHeight="1">
      <c r="B43" s="217">
        <v>34</v>
      </c>
      <c r="C43" s="227" t="s">
        <v>121</v>
      </c>
      <c r="D43" s="219">
        <f t="shared" si="0"/>
        <v>0.8</v>
      </c>
      <c r="E43" s="220">
        <v>0.2</v>
      </c>
      <c r="F43" s="219">
        <f>0.5+0.1</f>
        <v>0.6</v>
      </c>
      <c r="G43" s="219"/>
      <c r="I43" s="221"/>
      <c r="J43" s="221"/>
      <c r="K43" s="221"/>
      <c r="L43" s="221"/>
    </row>
    <row r="44" spans="2:12" s="226" customFormat="1" ht="12" customHeight="1">
      <c r="B44" s="217">
        <v>35</v>
      </c>
      <c r="C44" s="227" t="s">
        <v>122</v>
      </c>
      <c r="D44" s="219">
        <f t="shared" si="0"/>
        <v>0.30000000000000004</v>
      </c>
      <c r="E44" s="220">
        <v>0.2</v>
      </c>
      <c r="F44" s="219">
        <v>0.1</v>
      </c>
      <c r="G44" s="219"/>
      <c r="I44" s="221"/>
      <c r="J44" s="221"/>
      <c r="K44" s="221"/>
      <c r="L44" s="221"/>
    </row>
    <row r="45" spans="2:12" s="226" customFormat="1" ht="12" customHeight="1">
      <c r="B45" s="217">
        <v>36</v>
      </c>
      <c r="C45" s="223" t="s">
        <v>123</v>
      </c>
      <c r="D45" s="219">
        <f t="shared" si="0"/>
        <v>1.8</v>
      </c>
      <c r="E45" s="220">
        <v>0.3</v>
      </c>
      <c r="F45" s="219">
        <v>1.5</v>
      </c>
      <c r="G45" s="219"/>
      <c r="I45" s="221"/>
      <c r="J45" s="221"/>
      <c r="K45" s="221"/>
      <c r="L45" s="221"/>
    </row>
    <row r="46" spans="2:12" s="226" customFormat="1" ht="12" customHeight="1">
      <c r="B46" s="217">
        <v>37</v>
      </c>
      <c r="C46" s="227" t="s">
        <v>110</v>
      </c>
      <c r="D46" s="219">
        <f t="shared" si="0"/>
        <v>24.9</v>
      </c>
      <c r="E46" s="220">
        <v>0.4</v>
      </c>
      <c r="F46" s="219">
        <f>12+12.5</f>
        <v>24.5</v>
      </c>
      <c r="G46" s="219"/>
      <c r="I46" s="221"/>
      <c r="J46" s="221"/>
      <c r="K46" s="221"/>
      <c r="L46" s="221"/>
    </row>
    <row r="47" spans="2:12" s="226" customFormat="1" ht="12" customHeight="1">
      <c r="B47" s="217">
        <v>38</v>
      </c>
      <c r="C47" s="246" t="s">
        <v>29</v>
      </c>
      <c r="D47" s="219">
        <f t="shared" si="0"/>
        <v>0.6</v>
      </c>
      <c r="E47" s="220"/>
      <c r="F47" s="219">
        <f>1-0.4</f>
        <v>0.6</v>
      </c>
      <c r="G47" s="219"/>
      <c r="I47" s="221"/>
      <c r="J47" s="221"/>
      <c r="K47" s="221"/>
      <c r="L47" s="221"/>
    </row>
    <row r="48" spans="2:12" s="226" customFormat="1" ht="12" customHeight="1">
      <c r="B48" s="217">
        <v>39</v>
      </c>
      <c r="C48" s="228" t="s">
        <v>1</v>
      </c>
      <c r="D48" s="219">
        <f t="shared" si="0"/>
        <v>15.9</v>
      </c>
      <c r="E48" s="220"/>
      <c r="F48" s="219">
        <f>13.4+2.5</f>
        <v>15.9</v>
      </c>
      <c r="G48" s="219"/>
      <c r="I48" s="221"/>
      <c r="J48" s="221"/>
      <c r="K48" s="221"/>
      <c r="L48" s="221"/>
    </row>
    <row r="49" spans="2:12" s="226" customFormat="1" ht="12" customHeight="1">
      <c r="B49" s="217">
        <v>40</v>
      </c>
      <c r="C49" s="227" t="s">
        <v>2</v>
      </c>
      <c r="D49" s="219">
        <f t="shared" si="0"/>
        <v>182</v>
      </c>
      <c r="E49" s="220"/>
      <c r="F49" s="219"/>
      <c r="G49" s="219">
        <f>165+17</f>
        <v>182</v>
      </c>
      <c r="I49" s="221"/>
      <c r="J49" s="221"/>
      <c r="K49" s="221"/>
      <c r="L49" s="221"/>
    </row>
    <row r="50" spans="2:12" s="226" customFormat="1" ht="12" customHeight="1">
      <c r="B50" s="217">
        <v>41</v>
      </c>
      <c r="C50" s="227" t="s">
        <v>15</v>
      </c>
      <c r="D50" s="219">
        <f t="shared" si="0"/>
        <v>154.2</v>
      </c>
      <c r="E50" s="220">
        <v>0.2</v>
      </c>
      <c r="F50" s="219"/>
      <c r="G50" s="219">
        <f>152+2</f>
        <v>154</v>
      </c>
      <c r="I50" s="221"/>
      <c r="J50" s="221"/>
      <c r="K50" s="221"/>
      <c r="L50" s="221"/>
    </row>
    <row r="51" spans="2:12" s="226" customFormat="1" ht="12" customHeight="1">
      <c r="B51" s="217">
        <v>42</v>
      </c>
      <c r="C51" s="227" t="s">
        <v>128</v>
      </c>
      <c r="D51" s="219">
        <f t="shared" si="0"/>
        <v>111.2</v>
      </c>
      <c r="E51" s="220"/>
      <c r="F51" s="219"/>
      <c r="G51" s="219">
        <f>120.2-7-2</f>
        <v>111.2</v>
      </c>
      <c r="I51" s="221"/>
      <c r="J51" s="221"/>
      <c r="K51" s="221"/>
      <c r="L51" s="221"/>
    </row>
    <row r="52" spans="2:12" s="226" customFormat="1" ht="12" customHeight="1">
      <c r="B52" s="217">
        <v>43</v>
      </c>
      <c r="C52" s="93" t="s">
        <v>877</v>
      </c>
      <c r="D52" s="219">
        <f t="shared" si="0"/>
        <v>8</v>
      </c>
      <c r="E52" s="220"/>
      <c r="F52" s="219"/>
      <c r="G52" s="219">
        <v>8</v>
      </c>
      <c r="I52" s="221"/>
      <c r="J52" s="221"/>
      <c r="K52" s="221"/>
      <c r="L52" s="221"/>
    </row>
    <row r="53" spans="2:12" ht="12" customHeight="1">
      <c r="B53" s="217">
        <v>44</v>
      </c>
      <c r="C53" s="223" t="s">
        <v>124</v>
      </c>
      <c r="D53" s="219">
        <f t="shared" si="0"/>
        <v>11.4</v>
      </c>
      <c r="E53" s="220"/>
      <c r="F53" s="219">
        <f>7+4.4</f>
        <v>11.4</v>
      </c>
      <c r="G53" s="219"/>
      <c r="I53" s="221"/>
      <c r="J53" s="221"/>
      <c r="K53" s="221"/>
      <c r="L53" s="221"/>
    </row>
    <row r="54" spans="2:12" ht="26.25" customHeight="1">
      <c r="B54" s="217">
        <v>45</v>
      </c>
      <c r="C54" s="229" t="s">
        <v>3</v>
      </c>
      <c r="D54" s="219">
        <f t="shared" si="0"/>
        <v>10</v>
      </c>
      <c r="E54" s="220">
        <f>20-10</f>
        <v>10</v>
      </c>
      <c r="F54" s="219"/>
      <c r="G54" s="219"/>
      <c r="I54" s="221"/>
      <c r="J54" s="221"/>
      <c r="K54" s="221"/>
      <c r="L54" s="221"/>
    </row>
    <row r="55" spans="2:12" ht="12" customHeight="1">
      <c r="B55" s="217">
        <v>46</v>
      </c>
      <c r="C55" s="223" t="s">
        <v>8</v>
      </c>
      <c r="D55" s="219">
        <f t="shared" si="0"/>
        <v>5</v>
      </c>
      <c r="E55" s="220">
        <f>3+1.5</f>
        <v>4.5</v>
      </c>
      <c r="F55" s="219">
        <v>0.5</v>
      </c>
      <c r="G55" s="219"/>
      <c r="I55" s="221"/>
      <c r="J55" s="221"/>
      <c r="K55" s="221"/>
      <c r="L55" s="221"/>
    </row>
    <row r="56" spans="2:12" ht="12" customHeight="1">
      <c r="B56" s="217">
        <v>47</v>
      </c>
      <c r="C56" s="223" t="s">
        <v>4</v>
      </c>
      <c r="D56" s="219">
        <f t="shared" si="0"/>
        <v>1.9000000000000001</v>
      </c>
      <c r="E56" s="220">
        <f>1.1+0.5</f>
        <v>1.6</v>
      </c>
      <c r="F56" s="219">
        <v>0.3</v>
      </c>
      <c r="G56" s="219"/>
      <c r="I56" s="221"/>
      <c r="J56" s="221"/>
      <c r="K56" s="221"/>
      <c r="L56" s="221"/>
    </row>
    <row r="57" spans="2:12" ht="12" customHeight="1">
      <c r="B57" s="217">
        <v>48</v>
      </c>
      <c r="C57" s="223" t="s">
        <v>5</v>
      </c>
      <c r="D57" s="219">
        <f t="shared" si="0"/>
        <v>5.3</v>
      </c>
      <c r="E57" s="220">
        <f>0.7+0.8</f>
        <v>1.5</v>
      </c>
      <c r="F57" s="219">
        <v>3.8</v>
      </c>
      <c r="G57" s="219"/>
      <c r="I57" s="221"/>
      <c r="J57" s="221"/>
      <c r="K57" s="221"/>
      <c r="L57" s="221"/>
    </row>
    <row r="58" spans="2:12" ht="12" customHeight="1">
      <c r="B58" s="217">
        <v>49</v>
      </c>
      <c r="C58" s="223" t="s">
        <v>7</v>
      </c>
      <c r="D58" s="219">
        <f t="shared" si="0"/>
        <v>5.9</v>
      </c>
      <c r="E58" s="220">
        <v>4</v>
      </c>
      <c r="F58" s="219">
        <v>1.9</v>
      </c>
      <c r="G58" s="219"/>
      <c r="I58" s="221"/>
      <c r="J58" s="221"/>
      <c r="K58" s="221"/>
      <c r="L58" s="221"/>
    </row>
    <row r="59" spans="2:12" ht="12" customHeight="1">
      <c r="B59" s="217">
        <v>50</v>
      </c>
      <c r="C59" s="223" t="s">
        <v>6</v>
      </c>
      <c r="D59" s="219">
        <f t="shared" si="0"/>
        <v>2.4</v>
      </c>
      <c r="E59" s="220">
        <v>1.7</v>
      </c>
      <c r="F59" s="219">
        <f>0.2+0.5</f>
        <v>0.7</v>
      </c>
      <c r="G59" s="219"/>
      <c r="I59" s="221"/>
      <c r="J59" s="221"/>
      <c r="K59" s="221"/>
      <c r="L59" s="221"/>
    </row>
    <row r="60" spans="2:12" ht="12" customHeight="1">
      <c r="B60" s="217">
        <v>51</v>
      </c>
      <c r="C60" s="223" t="s">
        <v>9</v>
      </c>
      <c r="D60" s="219">
        <f t="shared" si="0"/>
        <v>1.4</v>
      </c>
      <c r="E60" s="220">
        <v>1</v>
      </c>
      <c r="F60" s="219">
        <v>0.4</v>
      </c>
      <c r="G60" s="219"/>
      <c r="I60" s="221"/>
      <c r="J60" s="221"/>
      <c r="K60" s="221"/>
      <c r="L60" s="221"/>
    </row>
    <row r="61" spans="2:12" ht="12" customHeight="1">
      <c r="B61" s="217">
        <v>52</v>
      </c>
      <c r="C61" s="228" t="s">
        <v>10</v>
      </c>
      <c r="D61" s="219">
        <f t="shared" si="0"/>
        <v>0.6</v>
      </c>
      <c r="E61" s="220">
        <v>0.6</v>
      </c>
      <c r="F61" s="219"/>
      <c r="G61" s="219"/>
      <c r="I61" s="221"/>
      <c r="J61" s="221"/>
      <c r="K61" s="221"/>
      <c r="L61" s="221"/>
    </row>
    <row r="62" spans="2:12" ht="12" customHeight="1">
      <c r="B62" s="217">
        <v>53</v>
      </c>
      <c r="C62" s="223" t="s">
        <v>12</v>
      </c>
      <c r="D62" s="219">
        <f t="shared" si="0"/>
        <v>2.6</v>
      </c>
      <c r="E62" s="220">
        <v>2</v>
      </c>
      <c r="F62" s="219">
        <v>0.6</v>
      </c>
      <c r="G62" s="219"/>
      <c r="I62" s="221"/>
      <c r="J62" s="221"/>
      <c r="K62" s="221"/>
      <c r="L62" s="221"/>
    </row>
    <row r="63" spans="2:12" ht="12" customHeight="1">
      <c r="B63" s="217">
        <v>54</v>
      </c>
      <c r="C63" s="223" t="s">
        <v>11</v>
      </c>
      <c r="D63" s="219">
        <f t="shared" si="0"/>
        <v>2.5</v>
      </c>
      <c r="E63" s="220">
        <v>2</v>
      </c>
      <c r="F63" s="219">
        <v>0.5</v>
      </c>
      <c r="G63" s="219"/>
      <c r="I63" s="221"/>
      <c r="J63" s="221"/>
      <c r="K63" s="221"/>
      <c r="L63" s="221"/>
    </row>
    <row r="64" spans="2:12" ht="12" customHeight="1">
      <c r="B64" s="217">
        <v>55</v>
      </c>
      <c r="C64" s="223" t="s">
        <v>13</v>
      </c>
      <c r="D64" s="219">
        <f t="shared" si="0"/>
        <v>1.1</v>
      </c>
      <c r="E64" s="220">
        <v>1.1</v>
      </c>
      <c r="F64" s="219"/>
      <c r="G64" s="219"/>
      <c r="I64" s="221"/>
      <c r="J64" s="221"/>
      <c r="K64" s="221"/>
      <c r="L64" s="221"/>
    </row>
    <row r="65" spans="2:12" ht="12" customHeight="1">
      <c r="B65" s="217">
        <v>56</v>
      </c>
      <c r="C65" s="223" t="s">
        <v>14</v>
      </c>
      <c r="D65" s="219">
        <f t="shared" si="0"/>
        <v>0.5</v>
      </c>
      <c r="E65" s="220">
        <v>0.5</v>
      </c>
      <c r="F65" s="219"/>
      <c r="G65" s="219"/>
      <c r="I65" s="221"/>
      <c r="J65" s="221"/>
      <c r="K65" s="221"/>
      <c r="L65" s="221"/>
    </row>
    <row r="66" spans="2:12" ht="12.75">
      <c r="B66" s="217">
        <v>57</v>
      </c>
      <c r="C66" s="238" t="s">
        <v>113</v>
      </c>
      <c r="D66" s="239">
        <f t="shared" si="0"/>
        <v>1418.2000000000003</v>
      </c>
      <c r="E66" s="239">
        <f>SUM(E10:E65)</f>
        <v>109.8</v>
      </c>
      <c r="F66" s="239">
        <f>SUM(F10:F65)</f>
        <v>216.8</v>
      </c>
      <c r="G66" s="239">
        <f>SUM(G10:G65)</f>
        <v>1091.6000000000001</v>
      </c>
      <c r="I66" s="221"/>
      <c r="J66" s="221"/>
      <c r="K66" s="221"/>
      <c r="L66" s="221"/>
    </row>
    <row r="67" spans="3:5" ht="12.75">
      <c r="C67" s="224"/>
      <c r="D67" s="224"/>
      <c r="E67" s="230"/>
    </row>
    <row r="68" spans="2:7" ht="12.75">
      <c r="B68" s="290" t="s">
        <v>400</v>
      </c>
      <c r="C68" s="290"/>
      <c r="D68" s="290"/>
      <c r="E68" s="290"/>
      <c r="F68" s="290"/>
      <c r="G68" s="290"/>
    </row>
    <row r="70" spans="5:7" ht="12.75">
      <c r="E70" s="230"/>
      <c r="F70" s="230"/>
      <c r="G70" s="230"/>
    </row>
    <row r="78" ht="12.75">
      <c r="C78" s="231"/>
    </row>
  </sheetData>
  <sheetProtection/>
  <mergeCells count="9">
    <mergeCell ref="B7:B8"/>
    <mergeCell ref="E7:G7"/>
    <mergeCell ref="B68:G68"/>
    <mergeCell ref="C2:G2"/>
    <mergeCell ref="C1:G1"/>
    <mergeCell ref="E3:G3"/>
    <mergeCell ref="D7:D8"/>
    <mergeCell ref="B5:G5"/>
    <mergeCell ref="C7:C8"/>
  </mergeCells>
  <printOptions/>
  <pageMargins left="0.1968503937007874" right="0" top="0.35433070866141736"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435"/>
  <sheetViews>
    <sheetView zoomScalePageLayoutView="0" workbookViewId="0" topLeftCell="A1">
      <selection activeCell="Q12" sqref="Q12"/>
    </sheetView>
  </sheetViews>
  <sheetFormatPr defaultColWidth="9.140625" defaultRowHeight="12.75"/>
  <cols>
    <col min="1" max="1" width="6.421875" style="73" customWidth="1"/>
    <col min="2" max="2" width="5.00390625" style="2" customWidth="1"/>
    <col min="3" max="3" width="44.28125" style="2" customWidth="1"/>
    <col min="4" max="4" width="10.421875" style="3" customWidth="1"/>
    <col min="5" max="5" width="9.421875" style="2" customWidth="1"/>
    <col min="6" max="6" width="9.7109375" style="2" customWidth="1"/>
    <col min="7" max="7" width="8.57421875" style="2" customWidth="1"/>
    <col min="8" max="8" width="8.28125" style="2" customWidth="1"/>
    <col min="9" max="9" width="6.7109375" style="5" customWidth="1"/>
    <col min="10" max="10" width="6.140625" style="2" customWidth="1"/>
    <col min="11" max="11" width="5.421875" style="2" customWidth="1"/>
    <col min="12" max="14" width="6.140625" style="2" customWidth="1"/>
    <col min="15" max="16384" width="9.140625" style="2" customWidth="1"/>
  </cols>
  <sheetData>
    <row r="1" spans="3:8" ht="15.75" customHeight="1">
      <c r="C1" s="291" t="s">
        <v>342</v>
      </c>
      <c r="D1" s="291"/>
      <c r="E1" s="291"/>
      <c r="F1" s="291"/>
      <c r="G1" s="291"/>
      <c r="H1" s="291"/>
    </row>
    <row r="2" spans="3:8" ht="15.75" customHeight="1">
      <c r="C2" s="291" t="s">
        <v>918</v>
      </c>
      <c r="D2" s="291"/>
      <c r="E2" s="291"/>
      <c r="F2" s="291"/>
      <c r="G2" s="291"/>
      <c r="H2" s="291"/>
    </row>
    <row r="3" spans="2:9" ht="14.25" customHeight="1">
      <c r="B3" s="44"/>
      <c r="E3" s="297" t="s">
        <v>305</v>
      </c>
      <c r="F3" s="297"/>
      <c r="G3" s="297"/>
      <c r="H3" s="297"/>
      <c r="I3" s="2"/>
    </row>
    <row r="4" spans="2:9" ht="15.75">
      <c r="B4" s="44"/>
      <c r="E4" s="31"/>
      <c r="F4" s="31"/>
      <c r="G4" s="31"/>
      <c r="H4" s="31"/>
      <c r="I4" s="2"/>
    </row>
    <row r="5" spans="1:9" ht="25.5" customHeight="1">
      <c r="A5" s="298" t="s">
        <v>457</v>
      </c>
      <c r="B5" s="298"/>
      <c r="C5" s="298"/>
      <c r="D5" s="298"/>
      <c r="E5" s="298"/>
      <c r="F5" s="298"/>
      <c r="G5" s="298"/>
      <c r="H5" s="298"/>
      <c r="I5" s="2"/>
    </row>
    <row r="6" spans="2:9" ht="12.75">
      <c r="B6" s="44"/>
      <c r="E6" s="6"/>
      <c r="F6" s="6"/>
      <c r="G6" s="299" t="s">
        <v>396</v>
      </c>
      <c r="H6" s="299"/>
      <c r="I6" s="2"/>
    </row>
    <row r="7" spans="1:9" ht="12.75" customHeight="1">
      <c r="A7" s="300" t="s">
        <v>336</v>
      </c>
      <c r="B7" s="309" t="s">
        <v>130</v>
      </c>
      <c r="C7" s="300" t="s">
        <v>16</v>
      </c>
      <c r="D7" s="310" t="s">
        <v>131</v>
      </c>
      <c r="E7" s="300" t="s">
        <v>17</v>
      </c>
      <c r="F7" s="302" t="s">
        <v>18</v>
      </c>
      <c r="G7" s="302"/>
      <c r="H7" s="302"/>
      <c r="I7" s="2"/>
    </row>
    <row r="8" spans="1:9" ht="12.75" customHeight="1">
      <c r="A8" s="301"/>
      <c r="B8" s="309"/>
      <c r="C8" s="300"/>
      <c r="D8" s="310"/>
      <c r="E8" s="300"/>
      <c r="F8" s="302" t="s">
        <v>19</v>
      </c>
      <c r="G8" s="302"/>
      <c r="H8" s="300" t="s">
        <v>132</v>
      </c>
      <c r="I8" s="2"/>
    </row>
    <row r="9" spans="1:9" ht="43.5" customHeight="1">
      <c r="A9" s="301"/>
      <c r="B9" s="309"/>
      <c r="C9" s="300"/>
      <c r="D9" s="310"/>
      <c r="E9" s="300"/>
      <c r="F9" s="7" t="s">
        <v>17</v>
      </c>
      <c r="G9" s="45" t="s">
        <v>133</v>
      </c>
      <c r="H9" s="300"/>
      <c r="I9" s="2"/>
    </row>
    <row r="10" spans="1:9" ht="12.75">
      <c r="A10" s="92">
        <v>1</v>
      </c>
      <c r="B10" s="8" t="s">
        <v>20</v>
      </c>
      <c r="C10" s="7">
        <v>3</v>
      </c>
      <c r="D10" s="9">
        <v>4</v>
      </c>
      <c r="E10" s="7">
        <v>5</v>
      </c>
      <c r="F10" s="7">
        <v>6</v>
      </c>
      <c r="G10" s="7">
        <v>7</v>
      </c>
      <c r="H10" s="7">
        <v>8</v>
      </c>
      <c r="I10" s="2"/>
    </row>
    <row r="11" spans="1:14" ht="19.5" customHeight="1">
      <c r="A11" s="70">
        <v>1</v>
      </c>
      <c r="B11" s="8" t="s">
        <v>134</v>
      </c>
      <c r="C11" s="65" t="s">
        <v>135</v>
      </c>
      <c r="D11" s="9"/>
      <c r="E11" s="139">
        <f aca="true" t="shared" si="0" ref="E11:E99">+F11+H11</f>
        <v>9552.000000000002</v>
      </c>
      <c r="F11" s="139">
        <f>+F12+F15+F18+F21+F24+F27+F31+F34+F37+F41+F45+F49+F53+F56+F59+F62+F66+F69+F72+F76+F79+F82+F86+F89+F92+F94+F96+F98+F100+F105+F108+F111</f>
        <v>9181.200000000003</v>
      </c>
      <c r="G11" s="139">
        <f>+G12+G15+G18+G21+G24+G27+G31+G34+G37+G41+G45+G49+G53+G56+G59+G62+G66+G69+G72+G76+G79+G82+G86+G89+G92+G94+G96+G98+G100+G105+G108+G111</f>
        <v>5285.300000000002</v>
      </c>
      <c r="H11" s="139">
        <f>+H12+H15+H18+H21+H24+H27+H31+H34+H37+H41+H45+H49+H53+H56+H59+H62+H66+H69+H72+H76+H79+H82+H86+H89+H92+H94+H96+H98+H100+H105+H108+H111</f>
        <v>370.8</v>
      </c>
      <c r="I11" s="1"/>
      <c r="J11" s="1"/>
      <c r="K11" s="1"/>
      <c r="L11" s="1"/>
      <c r="M11" s="1"/>
      <c r="N11" s="1"/>
    </row>
    <row r="12" spans="1:15" ht="15.75" customHeight="1">
      <c r="A12" s="303">
        <v>2</v>
      </c>
      <c r="B12" s="304"/>
      <c r="C12" s="93" t="s">
        <v>246</v>
      </c>
      <c r="D12" s="330" t="s">
        <v>337</v>
      </c>
      <c r="E12" s="252">
        <f t="shared" si="0"/>
        <v>298.7</v>
      </c>
      <c r="F12" s="118">
        <f>281.4+F14+F13-0.5+3.7</f>
        <v>295.59999999999997</v>
      </c>
      <c r="G12" s="118">
        <f>189.9+G14+G13</f>
        <v>198.3</v>
      </c>
      <c r="H12" s="118">
        <f>0.5+2.6</f>
        <v>3.1</v>
      </c>
      <c r="I12" s="1"/>
      <c r="J12" s="1"/>
      <c r="K12" s="1"/>
      <c r="L12" s="1"/>
      <c r="M12" s="1"/>
      <c r="N12" s="1"/>
      <c r="O12" s="249"/>
    </row>
    <row r="13" spans="1:15" ht="27.75" customHeight="1">
      <c r="A13" s="303"/>
      <c r="B13" s="304"/>
      <c r="C13" s="243" t="s">
        <v>609</v>
      </c>
      <c r="D13" s="330"/>
      <c r="E13" s="252">
        <f t="shared" si="0"/>
        <v>7.7</v>
      </c>
      <c r="F13" s="118">
        <v>7.7</v>
      </c>
      <c r="G13" s="118">
        <v>5.9</v>
      </c>
      <c r="H13" s="118"/>
      <c r="I13" s="1"/>
      <c r="J13" s="1"/>
      <c r="K13" s="1"/>
      <c r="L13" s="1"/>
      <c r="M13" s="1"/>
      <c r="N13" s="1"/>
      <c r="O13" s="249"/>
    </row>
    <row r="14" spans="1:15" ht="27" customHeight="1">
      <c r="A14" s="303"/>
      <c r="B14" s="304"/>
      <c r="C14" s="243" t="s">
        <v>592</v>
      </c>
      <c r="D14" s="330"/>
      <c r="E14" s="252">
        <f t="shared" si="0"/>
        <v>3.3</v>
      </c>
      <c r="F14" s="118">
        <v>3.3</v>
      </c>
      <c r="G14" s="118">
        <v>2.5</v>
      </c>
      <c r="H14" s="118"/>
      <c r="I14" s="1"/>
      <c r="J14" s="1"/>
      <c r="K14" s="1"/>
      <c r="L14" s="1"/>
      <c r="M14" s="1"/>
      <c r="N14" s="1"/>
      <c r="O14" s="249"/>
    </row>
    <row r="15" spans="1:15" ht="18" customHeight="1">
      <c r="A15" s="303">
        <v>3</v>
      </c>
      <c r="B15" s="304"/>
      <c r="C15" s="93" t="s">
        <v>125</v>
      </c>
      <c r="D15" s="304" t="s">
        <v>136</v>
      </c>
      <c r="E15" s="252">
        <f t="shared" si="0"/>
        <v>308.5</v>
      </c>
      <c r="F15" s="118">
        <f>292.7+F17+F16+5.8</f>
        <v>308.5</v>
      </c>
      <c r="G15" s="118">
        <f>197.1+G17+G16+1.9</f>
        <v>206.7</v>
      </c>
      <c r="H15" s="118"/>
      <c r="I15" s="1"/>
      <c r="J15" s="1"/>
      <c r="K15" s="1"/>
      <c r="L15" s="1"/>
      <c r="M15" s="1"/>
      <c r="N15" s="1"/>
      <c r="O15" s="249"/>
    </row>
    <row r="16" spans="1:15" ht="26.25" customHeight="1">
      <c r="A16" s="303"/>
      <c r="B16" s="304"/>
      <c r="C16" s="243" t="s">
        <v>609</v>
      </c>
      <c r="D16" s="304"/>
      <c r="E16" s="252">
        <f t="shared" si="0"/>
        <v>6</v>
      </c>
      <c r="F16" s="118">
        <v>6</v>
      </c>
      <c r="G16" s="118">
        <v>4.6</v>
      </c>
      <c r="H16" s="118"/>
      <c r="I16" s="1"/>
      <c r="J16" s="1"/>
      <c r="K16" s="1"/>
      <c r="L16" s="1"/>
      <c r="M16" s="1"/>
      <c r="N16" s="1"/>
      <c r="O16" s="249"/>
    </row>
    <row r="17" spans="1:15" ht="22.5" customHeight="1">
      <c r="A17" s="303"/>
      <c r="B17" s="304"/>
      <c r="C17" s="243" t="s">
        <v>592</v>
      </c>
      <c r="D17" s="304"/>
      <c r="E17" s="252">
        <f t="shared" si="0"/>
        <v>4</v>
      </c>
      <c r="F17" s="118">
        <v>4</v>
      </c>
      <c r="G17" s="118">
        <v>3.1</v>
      </c>
      <c r="H17" s="118"/>
      <c r="I17" s="1"/>
      <c r="J17" s="1"/>
      <c r="K17" s="1"/>
      <c r="L17" s="1"/>
      <c r="M17" s="1"/>
      <c r="N17" s="1"/>
      <c r="O17" s="249"/>
    </row>
    <row r="18" spans="1:15" ht="17.25" customHeight="1">
      <c r="A18" s="303">
        <v>4</v>
      </c>
      <c r="B18" s="304"/>
      <c r="C18" s="93" t="s">
        <v>910</v>
      </c>
      <c r="D18" s="304" t="s">
        <v>137</v>
      </c>
      <c r="E18" s="252">
        <f t="shared" si="0"/>
        <v>274.70000000000005</v>
      </c>
      <c r="F18" s="118">
        <f>253.6+F20+F19+3.6-1+6.6</f>
        <v>273.70000000000005</v>
      </c>
      <c r="G18" s="118">
        <f>167.6+G20+G19+2.7-5.5</f>
        <v>173.2</v>
      </c>
      <c r="H18" s="118">
        <v>1</v>
      </c>
      <c r="I18" s="1"/>
      <c r="J18" s="1"/>
      <c r="K18" s="1"/>
      <c r="L18" s="1"/>
      <c r="M18" s="1"/>
      <c r="N18" s="1"/>
      <c r="O18" s="249"/>
    </row>
    <row r="19" spans="1:15" ht="22.5" customHeight="1">
      <c r="A19" s="303"/>
      <c r="B19" s="304"/>
      <c r="C19" s="243" t="s">
        <v>609</v>
      </c>
      <c r="D19" s="304"/>
      <c r="E19" s="252">
        <f t="shared" si="0"/>
        <v>6.9</v>
      </c>
      <c r="F19" s="118">
        <v>6.9</v>
      </c>
      <c r="G19" s="118">
        <v>5.3</v>
      </c>
      <c r="H19" s="118"/>
      <c r="I19" s="1"/>
      <c r="J19" s="1"/>
      <c r="K19" s="1"/>
      <c r="L19" s="1"/>
      <c r="M19" s="1"/>
      <c r="N19" s="1"/>
      <c r="O19" s="249"/>
    </row>
    <row r="20" spans="1:15" ht="26.25" customHeight="1">
      <c r="A20" s="303"/>
      <c r="B20" s="304"/>
      <c r="C20" s="243" t="s">
        <v>592</v>
      </c>
      <c r="D20" s="304"/>
      <c r="E20" s="252">
        <f t="shared" si="0"/>
        <v>4</v>
      </c>
      <c r="F20" s="118">
        <v>4</v>
      </c>
      <c r="G20" s="118">
        <v>3.1</v>
      </c>
      <c r="H20" s="118"/>
      <c r="I20" s="1"/>
      <c r="J20" s="1"/>
      <c r="K20" s="1"/>
      <c r="L20" s="1"/>
      <c r="M20" s="1"/>
      <c r="N20" s="1"/>
      <c r="O20" s="249"/>
    </row>
    <row r="21" spans="1:15" ht="16.5" customHeight="1">
      <c r="A21" s="303">
        <v>5</v>
      </c>
      <c r="B21" s="304"/>
      <c r="C21" s="93" t="s">
        <v>911</v>
      </c>
      <c r="D21" s="304" t="s">
        <v>137</v>
      </c>
      <c r="E21" s="252">
        <f t="shared" si="0"/>
        <v>265.7</v>
      </c>
      <c r="F21" s="118">
        <f>246.8+F23+F22+0.5+6.9</f>
        <v>265.7</v>
      </c>
      <c r="G21" s="118">
        <f>157.8+G23+G22+0.4-3.4</f>
        <v>163.60000000000002</v>
      </c>
      <c r="H21" s="118"/>
      <c r="I21" s="1"/>
      <c r="J21" s="1"/>
      <c r="K21" s="1"/>
      <c r="L21" s="1"/>
      <c r="M21" s="1"/>
      <c r="N21" s="1"/>
      <c r="O21" s="249"/>
    </row>
    <row r="22" spans="1:15" ht="27" customHeight="1">
      <c r="A22" s="303"/>
      <c r="B22" s="304"/>
      <c r="C22" s="243" t="s">
        <v>609</v>
      </c>
      <c r="D22" s="304"/>
      <c r="E22" s="252">
        <f t="shared" si="0"/>
        <v>6.4</v>
      </c>
      <c r="F22" s="118">
        <v>6.4</v>
      </c>
      <c r="G22" s="118">
        <v>4.9</v>
      </c>
      <c r="H22" s="118"/>
      <c r="I22" s="1"/>
      <c r="J22" s="1"/>
      <c r="K22" s="1"/>
      <c r="L22" s="1"/>
      <c r="M22" s="1"/>
      <c r="N22" s="1"/>
      <c r="O22" s="249"/>
    </row>
    <row r="23" spans="1:15" ht="26.25" customHeight="1">
      <c r="A23" s="303"/>
      <c r="B23" s="304"/>
      <c r="C23" s="243" t="s">
        <v>592</v>
      </c>
      <c r="D23" s="304"/>
      <c r="E23" s="252">
        <f t="shared" si="0"/>
        <v>5.1</v>
      </c>
      <c r="F23" s="118">
        <v>5.1</v>
      </c>
      <c r="G23" s="118">
        <v>3.9</v>
      </c>
      <c r="H23" s="118"/>
      <c r="I23" s="1"/>
      <c r="J23" s="1"/>
      <c r="K23" s="1"/>
      <c r="L23" s="1"/>
      <c r="M23" s="1"/>
      <c r="N23" s="1"/>
      <c r="O23" s="249"/>
    </row>
    <row r="24" spans="1:15" ht="13.5" customHeight="1">
      <c r="A24" s="303">
        <v>6</v>
      </c>
      <c r="B24" s="304"/>
      <c r="C24" s="93" t="s">
        <v>103</v>
      </c>
      <c r="D24" s="304" t="s">
        <v>136</v>
      </c>
      <c r="E24" s="252">
        <f t="shared" si="0"/>
        <v>269.4</v>
      </c>
      <c r="F24" s="118">
        <f>249.2+F26+F25+7.1</f>
        <v>269.4</v>
      </c>
      <c r="G24" s="118">
        <f>162+G26+G25-1</f>
        <v>171</v>
      </c>
      <c r="H24" s="118"/>
      <c r="I24" s="1"/>
      <c r="J24" s="1"/>
      <c r="K24" s="1"/>
      <c r="L24" s="1"/>
      <c r="M24" s="1"/>
      <c r="N24" s="1"/>
      <c r="O24" s="249"/>
    </row>
    <row r="25" spans="1:15" ht="29.25" customHeight="1">
      <c r="A25" s="303"/>
      <c r="B25" s="304"/>
      <c r="C25" s="243" t="s">
        <v>609</v>
      </c>
      <c r="D25" s="304"/>
      <c r="E25" s="252">
        <f t="shared" si="0"/>
        <v>8</v>
      </c>
      <c r="F25" s="118">
        <v>8</v>
      </c>
      <c r="G25" s="118">
        <v>6.1</v>
      </c>
      <c r="H25" s="118"/>
      <c r="I25" s="1"/>
      <c r="J25" s="1"/>
      <c r="K25" s="1"/>
      <c r="L25" s="1"/>
      <c r="M25" s="1"/>
      <c r="N25" s="1"/>
      <c r="O25" s="249"/>
    </row>
    <row r="26" spans="1:15" ht="26.25" customHeight="1">
      <c r="A26" s="303"/>
      <c r="B26" s="304"/>
      <c r="C26" s="243" t="s">
        <v>592</v>
      </c>
      <c r="D26" s="304"/>
      <c r="E26" s="252">
        <f t="shared" si="0"/>
        <v>5.1</v>
      </c>
      <c r="F26" s="118">
        <v>5.1</v>
      </c>
      <c r="G26" s="118">
        <v>3.9</v>
      </c>
      <c r="H26" s="118"/>
      <c r="I26" s="1"/>
      <c r="J26" s="1"/>
      <c r="K26" s="1"/>
      <c r="L26" s="1"/>
      <c r="M26" s="1"/>
      <c r="N26" s="1"/>
      <c r="O26" s="249"/>
    </row>
    <row r="27" spans="1:15" ht="18.75" customHeight="1">
      <c r="A27" s="303">
        <v>7</v>
      </c>
      <c r="B27" s="304"/>
      <c r="C27" s="93" t="s">
        <v>104</v>
      </c>
      <c r="D27" s="304" t="s">
        <v>136</v>
      </c>
      <c r="E27" s="252">
        <f t="shared" si="0"/>
        <v>325.2</v>
      </c>
      <c r="F27" s="118">
        <f>299.7+F30+F29+F28-5.1+6.1+7.5</f>
        <v>325.2</v>
      </c>
      <c r="G27" s="118">
        <f>200.8+G30+G29+G28-3.9+4.7</f>
        <v>214.6</v>
      </c>
      <c r="H27" s="118"/>
      <c r="I27" s="1"/>
      <c r="J27" s="1"/>
      <c r="K27" s="1"/>
      <c r="L27" s="1"/>
      <c r="M27" s="1"/>
      <c r="N27" s="1"/>
      <c r="O27" s="249"/>
    </row>
    <row r="28" spans="1:15" ht="23.25" customHeight="1">
      <c r="A28" s="303"/>
      <c r="B28" s="304"/>
      <c r="C28" s="243" t="s">
        <v>609</v>
      </c>
      <c r="D28" s="304"/>
      <c r="E28" s="252">
        <f t="shared" si="0"/>
        <v>7.1</v>
      </c>
      <c r="F28" s="118">
        <v>7.1</v>
      </c>
      <c r="G28" s="118">
        <v>5.4</v>
      </c>
      <c r="H28" s="118"/>
      <c r="I28" s="1"/>
      <c r="J28" s="1"/>
      <c r="K28" s="1"/>
      <c r="L28" s="1"/>
      <c r="M28" s="1"/>
      <c r="N28" s="1"/>
      <c r="O28" s="249"/>
    </row>
    <row r="29" spans="1:15" ht="27" customHeight="1">
      <c r="A29" s="303"/>
      <c r="B29" s="304"/>
      <c r="C29" s="243" t="s">
        <v>608</v>
      </c>
      <c r="D29" s="304"/>
      <c r="E29" s="252">
        <f t="shared" si="0"/>
        <v>5.2</v>
      </c>
      <c r="F29" s="118">
        <v>5.2</v>
      </c>
      <c r="G29" s="118">
        <v>4</v>
      </c>
      <c r="H29" s="118"/>
      <c r="I29" s="1"/>
      <c r="J29" s="1"/>
      <c r="K29" s="1"/>
      <c r="L29" s="1"/>
      <c r="M29" s="1"/>
      <c r="N29" s="1"/>
      <c r="O29" s="249"/>
    </row>
    <row r="30" spans="1:15" ht="24.75" customHeight="1">
      <c r="A30" s="303"/>
      <c r="B30" s="304"/>
      <c r="C30" s="243" t="s">
        <v>592</v>
      </c>
      <c r="D30" s="304"/>
      <c r="E30" s="252">
        <f t="shared" si="0"/>
        <v>4.7</v>
      </c>
      <c r="F30" s="118">
        <v>4.7</v>
      </c>
      <c r="G30" s="118">
        <v>3.6</v>
      </c>
      <c r="H30" s="118"/>
      <c r="I30" s="1"/>
      <c r="J30" s="1"/>
      <c r="K30" s="1"/>
      <c r="L30" s="1"/>
      <c r="M30" s="1"/>
      <c r="N30" s="1"/>
      <c r="O30" s="249"/>
    </row>
    <row r="31" spans="1:15" ht="15.75" customHeight="1">
      <c r="A31" s="303">
        <v>8</v>
      </c>
      <c r="B31" s="304"/>
      <c r="C31" s="93" t="s">
        <v>126</v>
      </c>
      <c r="D31" s="304" t="s">
        <v>136</v>
      </c>
      <c r="E31" s="252">
        <f t="shared" si="0"/>
        <v>306.1</v>
      </c>
      <c r="F31" s="118">
        <f>285.6+F33+F32+8.5</f>
        <v>306.1</v>
      </c>
      <c r="G31" s="118">
        <f>183.8+G33+G32</f>
        <v>193.00000000000003</v>
      </c>
      <c r="H31" s="118"/>
      <c r="I31" s="1"/>
      <c r="J31" s="1"/>
      <c r="K31" s="1"/>
      <c r="L31" s="1"/>
      <c r="M31" s="1"/>
      <c r="N31" s="1"/>
      <c r="O31" s="249"/>
    </row>
    <row r="32" spans="1:15" ht="25.5" customHeight="1">
      <c r="A32" s="303"/>
      <c r="B32" s="304"/>
      <c r="C32" s="243" t="s">
        <v>609</v>
      </c>
      <c r="D32" s="304"/>
      <c r="E32" s="252">
        <f t="shared" si="0"/>
        <v>7.6</v>
      </c>
      <c r="F32" s="118">
        <v>7.6</v>
      </c>
      <c r="G32" s="118">
        <v>5.8</v>
      </c>
      <c r="H32" s="118"/>
      <c r="I32" s="1"/>
      <c r="J32" s="1"/>
      <c r="K32" s="1"/>
      <c r="L32" s="1"/>
      <c r="M32" s="1"/>
      <c r="N32" s="1"/>
      <c r="O32" s="249"/>
    </row>
    <row r="33" spans="1:15" ht="25.5" customHeight="1">
      <c r="A33" s="303"/>
      <c r="B33" s="304"/>
      <c r="C33" s="243" t="s">
        <v>592</v>
      </c>
      <c r="D33" s="304"/>
      <c r="E33" s="252">
        <f t="shared" si="0"/>
        <v>4.4</v>
      </c>
      <c r="F33" s="118">
        <v>4.4</v>
      </c>
      <c r="G33" s="118">
        <v>3.4</v>
      </c>
      <c r="H33" s="118"/>
      <c r="I33" s="1"/>
      <c r="J33" s="1"/>
      <c r="K33" s="1"/>
      <c r="L33" s="1"/>
      <c r="M33" s="1"/>
      <c r="N33" s="1"/>
      <c r="O33" s="249"/>
    </row>
    <row r="34" spans="1:15" ht="18.75" customHeight="1">
      <c r="A34" s="303">
        <v>9</v>
      </c>
      <c r="B34" s="304"/>
      <c r="C34" s="81" t="s">
        <v>114</v>
      </c>
      <c r="D34" s="304" t="s">
        <v>137</v>
      </c>
      <c r="E34" s="252">
        <f t="shared" si="0"/>
        <v>247.8</v>
      </c>
      <c r="F34" s="118">
        <f>230.9+F36+F35+3.3</f>
        <v>244.8</v>
      </c>
      <c r="G34" s="118">
        <f>150.1+G36+G35</f>
        <v>158.2</v>
      </c>
      <c r="H34" s="118">
        <v>3</v>
      </c>
      <c r="I34" s="1"/>
      <c r="J34" s="1"/>
      <c r="K34" s="1"/>
      <c r="L34" s="1"/>
      <c r="M34" s="1"/>
      <c r="N34" s="1"/>
      <c r="O34" s="249"/>
    </row>
    <row r="35" spans="1:15" ht="27" customHeight="1">
      <c r="A35" s="303"/>
      <c r="B35" s="304"/>
      <c r="C35" s="243" t="s">
        <v>609</v>
      </c>
      <c r="D35" s="304"/>
      <c r="E35" s="252">
        <f t="shared" si="0"/>
        <v>5.4</v>
      </c>
      <c r="F35" s="118">
        <v>5.4</v>
      </c>
      <c r="G35" s="118">
        <v>4.1</v>
      </c>
      <c r="H35" s="118"/>
      <c r="I35" s="1"/>
      <c r="J35" s="1"/>
      <c r="K35" s="1"/>
      <c r="L35" s="1"/>
      <c r="M35" s="1"/>
      <c r="N35" s="1"/>
      <c r="O35" s="249"/>
    </row>
    <row r="36" spans="1:15" ht="30" customHeight="1">
      <c r="A36" s="303"/>
      <c r="B36" s="304"/>
      <c r="C36" s="243" t="s">
        <v>592</v>
      </c>
      <c r="D36" s="304"/>
      <c r="E36" s="252">
        <f t="shared" si="0"/>
        <v>5.2</v>
      </c>
      <c r="F36" s="118">
        <v>5.2</v>
      </c>
      <c r="G36" s="118">
        <v>4</v>
      </c>
      <c r="H36" s="118"/>
      <c r="I36" s="1"/>
      <c r="J36" s="1"/>
      <c r="K36" s="1"/>
      <c r="L36" s="1"/>
      <c r="M36" s="1"/>
      <c r="N36" s="1"/>
      <c r="O36" s="249"/>
    </row>
    <row r="37" spans="1:15" ht="17.25" customHeight="1">
      <c r="A37" s="303">
        <v>10</v>
      </c>
      <c r="B37" s="304"/>
      <c r="C37" s="93" t="s">
        <v>106</v>
      </c>
      <c r="D37" s="304" t="s">
        <v>138</v>
      </c>
      <c r="E37" s="252">
        <f>+F37+H37</f>
        <v>300.9</v>
      </c>
      <c r="F37" s="118">
        <f>245.3+F40+F39+F38+16</f>
        <v>299.4</v>
      </c>
      <c r="G37" s="118">
        <f>141.9+G40+G39+G38</f>
        <v>171</v>
      </c>
      <c r="H37" s="118">
        <v>1.5</v>
      </c>
      <c r="I37" s="1"/>
      <c r="J37" s="1"/>
      <c r="K37" s="1"/>
      <c r="L37" s="1"/>
      <c r="M37" s="1"/>
      <c r="N37" s="1"/>
      <c r="O37" s="249"/>
    </row>
    <row r="38" spans="1:15" ht="28.5" customHeight="1">
      <c r="A38" s="303"/>
      <c r="B38" s="304"/>
      <c r="C38" s="243" t="s">
        <v>609</v>
      </c>
      <c r="D38" s="304"/>
      <c r="E38" s="252">
        <f>+F38+H38</f>
        <v>4.7</v>
      </c>
      <c r="F38" s="118">
        <v>4.7</v>
      </c>
      <c r="G38" s="118">
        <v>3.6</v>
      </c>
      <c r="H38" s="118"/>
      <c r="I38" s="1"/>
      <c r="J38" s="1"/>
      <c r="K38" s="1"/>
      <c r="L38" s="1"/>
      <c r="M38" s="1"/>
      <c r="N38" s="1"/>
      <c r="O38" s="249"/>
    </row>
    <row r="39" spans="1:15" ht="24" customHeight="1">
      <c r="A39" s="303"/>
      <c r="B39" s="304"/>
      <c r="C39" s="243" t="s">
        <v>608</v>
      </c>
      <c r="D39" s="304"/>
      <c r="E39" s="252">
        <f>+F39+H39</f>
        <v>10.4</v>
      </c>
      <c r="F39" s="118">
        <v>10.4</v>
      </c>
      <c r="G39" s="118">
        <v>7.9</v>
      </c>
      <c r="H39" s="118"/>
      <c r="I39" s="1"/>
      <c r="J39" s="1"/>
      <c r="K39" s="1"/>
      <c r="L39" s="1"/>
      <c r="M39" s="1"/>
      <c r="N39" s="1"/>
      <c r="O39" s="249"/>
    </row>
    <row r="40" spans="1:15" ht="23.25" customHeight="1">
      <c r="A40" s="303"/>
      <c r="B40" s="304"/>
      <c r="C40" s="243" t="s">
        <v>592</v>
      </c>
      <c r="D40" s="304"/>
      <c r="E40" s="252">
        <f>+F40+H40</f>
        <v>23</v>
      </c>
      <c r="F40" s="118">
        <v>23</v>
      </c>
      <c r="G40" s="118">
        <v>17.6</v>
      </c>
      <c r="H40" s="118"/>
      <c r="I40" s="1"/>
      <c r="J40" s="1"/>
      <c r="K40" s="1"/>
      <c r="L40" s="1"/>
      <c r="M40" s="1"/>
      <c r="N40" s="1"/>
      <c r="O40" s="249"/>
    </row>
    <row r="41" spans="1:15" ht="16.5" customHeight="1">
      <c r="A41" s="303">
        <v>11</v>
      </c>
      <c r="B41" s="304"/>
      <c r="C41" s="93" t="s">
        <v>115</v>
      </c>
      <c r="D41" s="330" t="s">
        <v>338</v>
      </c>
      <c r="E41" s="252">
        <f t="shared" si="0"/>
        <v>229.90000000000003</v>
      </c>
      <c r="F41" s="118">
        <f>186.9+F44+F43+F42+0.3+13</f>
        <v>229.90000000000003</v>
      </c>
      <c r="G41" s="118">
        <f>102.3+G44+G43+G42+0.5+4.4</f>
        <v>129.89999999999998</v>
      </c>
      <c r="H41" s="118"/>
      <c r="I41" s="1"/>
      <c r="J41" s="1"/>
      <c r="K41" s="1"/>
      <c r="L41" s="1"/>
      <c r="M41" s="1"/>
      <c r="N41" s="1"/>
      <c r="O41" s="249"/>
    </row>
    <row r="42" spans="1:15" ht="29.25" customHeight="1">
      <c r="A42" s="303"/>
      <c r="B42" s="304"/>
      <c r="C42" s="243" t="s">
        <v>609</v>
      </c>
      <c r="D42" s="330"/>
      <c r="E42" s="252">
        <f t="shared" si="0"/>
        <v>5</v>
      </c>
      <c r="F42" s="118">
        <v>5</v>
      </c>
      <c r="G42" s="118">
        <v>3.8</v>
      </c>
      <c r="H42" s="118"/>
      <c r="I42" s="1"/>
      <c r="J42" s="1"/>
      <c r="K42" s="1"/>
      <c r="L42" s="1"/>
      <c r="M42" s="1"/>
      <c r="N42" s="1"/>
      <c r="O42" s="249"/>
    </row>
    <row r="43" spans="1:15" ht="24.75" customHeight="1">
      <c r="A43" s="303"/>
      <c r="B43" s="304"/>
      <c r="C43" s="243" t="s">
        <v>608</v>
      </c>
      <c r="D43" s="330"/>
      <c r="E43" s="252">
        <f t="shared" si="0"/>
        <v>6.9</v>
      </c>
      <c r="F43" s="118">
        <v>6.9</v>
      </c>
      <c r="G43" s="118">
        <v>5.3</v>
      </c>
      <c r="H43" s="118"/>
      <c r="I43" s="1"/>
      <c r="J43" s="1"/>
      <c r="K43" s="1"/>
      <c r="L43" s="1"/>
      <c r="M43" s="1"/>
      <c r="N43" s="1"/>
      <c r="O43" s="249"/>
    </row>
    <row r="44" spans="1:15" ht="27.75" customHeight="1">
      <c r="A44" s="303"/>
      <c r="B44" s="304"/>
      <c r="C44" s="243" t="s">
        <v>592</v>
      </c>
      <c r="D44" s="330"/>
      <c r="E44" s="252">
        <f t="shared" si="0"/>
        <v>17.8</v>
      </c>
      <c r="F44" s="118">
        <v>17.8</v>
      </c>
      <c r="G44" s="118">
        <v>13.6</v>
      </c>
      <c r="H44" s="118"/>
      <c r="I44" s="1"/>
      <c r="J44" s="1"/>
      <c r="K44" s="1"/>
      <c r="L44" s="1"/>
      <c r="M44" s="1"/>
      <c r="N44" s="1"/>
      <c r="O44" s="249"/>
    </row>
    <row r="45" spans="1:15" ht="16.5" customHeight="1">
      <c r="A45" s="303">
        <v>12</v>
      </c>
      <c r="B45" s="304"/>
      <c r="C45" s="81" t="s">
        <v>414</v>
      </c>
      <c r="D45" s="304" t="s">
        <v>138</v>
      </c>
      <c r="E45" s="252">
        <f t="shared" si="0"/>
        <v>483.00000000000006</v>
      </c>
      <c r="F45" s="118">
        <f>422.8+F48+F47+F46+26.5</f>
        <v>483.00000000000006</v>
      </c>
      <c r="G45" s="118">
        <f>264.7+G48+G47+G46+5</f>
        <v>295.5</v>
      </c>
      <c r="H45" s="118"/>
      <c r="I45" s="1"/>
      <c r="J45" s="1"/>
      <c r="K45" s="1"/>
      <c r="L45" s="1"/>
      <c r="M45" s="1"/>
      <c r="N45" s="1"/>
      <c r="O45" s="249"/>
    </row>
    <row r="46" spans="1:15" ht="26.25" customHeight="1">
      <c r="A46" s="303"/>
      <c r="B46" s="304"/>
      <c r="C46" s="243" t="s">
        <v>609</v>
      </c>
      <c r="D46" s="304"/>
      <c r="E46" s="252">
        <f t="shared" si="0"/>
        <v>8.3</v>
      </c>
      <c r="F46" s="118">
        <v>8.3</v>
      </c>
      <c r="G46" s="118">
        <v>6.3</v>
      </c>
      <c r="H46" s="118"/>
      <c r="I46" s="1"/>
      <c r="J46" s="1"/>
      <c r="K46" s="1"/>
      <c r="L46" s="1"/>
      <c r="M46" s="1"/>
      <c r="N46" s="1"/>
      <c r="O46" s="249"/>
    </row>
    <row r="47" spans="1:15" ht="27" customHeight="1">
      <c r="A47" s="303"/>
      <c r="B47" s="304"/>
      <c r="C47" s="243" t="s">
        <v>608</v>
      </c>
      <c r="D47" s="304"/>
      <c r="E47" s="252">
        <f t="shared" si="0"/>
        <v>5.8</v>
      </c>
      <c r="F47" s="118">
        <v>5.8</v>
      </c>
      <c r="G47" s="118">
        <v>4.5</v>
      </c>
      <c r="H47" s="118"/>
      <c r="I47" s="1"/>
      <c r="J47" s="1"/>
      <c r="K47" s="1"/>
      <c r="L47" s="1"/>
      <c r="M47" s="1"/>
      <c r="N47" s="1"/>
      <c r="O47" s="249"/>
    </row>
    <row r="48" spans="1:15" ht="26.25" customHeight="1">
      <c r="A48" s="303"/>
      <c r="B48" s="304"/>
      <c r="C48" s="243" t="s">
        <v>592</v>
      </c>
      <c r="D48" s="304"/>
      <c r="E48" s="252">
        <f t="shared" si="0"/>
        <v>19.6</v>
      </c>
      <c r="F48" s="118">
        <v>19.6</v>
      </c>
      <c r="G48" s="118">
        <v>15</v>
      </c>
      <c r="H48" s="118"/>
      <c r="I48" s="1"/>
      <c r="J48" s="1"/>
      <c r="K48" s="1"/>
      <c r="L48" s="1"/>
      <c r="M48" s="1"/>
      <c r="N48" s="1"/>
      <c r="O48" s="249"/>
    </row>
    <row r="49" spans="1:15" ht="14.25" customHeight="1">
      <c r="A49" s="303">
        <v>13</v>
      </c>
      <c r="B49" s="304"/>
      <c r="C49" s="81" t="s">
        <v>415</v>
      </c>
      <c r="D49" s="304" t="s">
        <v>138</v>
      </c>
      <c r="E49" s="252">
        <f t="shared" si="0"/>
        <v>336.7</v>
      </c>
      <c r="F49" s="118">
        <f>295.8+F52+F51+F50-1.6+19.8+0.9</f>
        <v>336.7</v>
      </c>
      <c r="G49" s="118">
        <f>171.8+G52+G51+G50-1.2+7.4</f>
        <v>194.60000000000005</v>
      </c>
      <c r="H49" s="118"/>
      <c r="I49" s="1"/>
      <c r="J49" s="1"/>
      <c r="K49" s="1"/>
      <c r="L49" s="1"/>
      <c r="M49" s="1"/>
      <c r="N49" s="1"/>
      <c r="O49" s="249"/>
    </row>
    <row r="50" spans="1:15" ht="30" customHeight="1">
      <c r="A50" s="303"/>
      <c r="B50" s="304"/>
      <c r="C50" s="243" t="s">
        <v>609</v>
      </c>
      <c r="D50" s="304"/>
      <c r="E50" s="252">
        <f t="shared" si="0"/>
        <v>3.7</v>
      </c>
      <c r="F50" s="118">
        <v>3.7</v>
      </c>
      <c r="G50" s="118">
        <v>2.8</v>
      </c>
      <c r="H50" s="118"/>
      <c r="I50" s="1"/>
      <c r="J50" s="1"/>
      <c r="K50" s="1"/>
      <c r="L50" s="1"/>
      <c r="M50" s="1"/>
      <c r="N50" s="1"/>
      <c r="O50" s="249"/>
    </row>
    <row r="51" spans="1:15" ht="24.75" customHeight="1">
      <c r="A51" s="303"/>
      <c r="B51" s="304"/>
      <c r="C51" s="243" t="s">
        <v>608</v>
      </c>
      <c r="D51" s="304"/>
      <c r="E51" s="252">
        <f t="shared" si="0"/>
        <v>2</v>
      </c>
      <c r="F51" s="118">
        <v>2</v>
      </c>
      <c r="G51" s="118">
        <v>1.5</v>
      </c>
      <c r="H51" s="118"/>
      <c r="I51" s="1"/>
      <c r="J51" s="1"/>
      <c r="K51" s="1"/>
      <c r="L51" s="1"/>
      <c r="M51" s="1"/>
      <c r="N51" s="1"/>
      <c r="O51" s="249"/>
    </row>
    <row r="52" spans="1:15" ht="27.75" customHeight="1">
      <c r="A52" s="303"/>
      <c r="B52" s="304"/>
      <c r="C52" s="243" t="s">
        <v>592</v>
      </c>
      <c r="D52" s="304"/>
      <c r="E52" s="252">
        <f t="shared" si="0"/>
        <v>16.1</v>
      </c>
      <c r="F52" s="118">
        <v>16.1</v>
      </c>
      <c r="G52" s="118">
        <v>12.3</v>
      </c>
      <c r="H52" s="118"/>
      <c r="I52" s="1"/>
      <c r="J52" s="1"/>
      <c r="K52" s="1"/>
      <c r="L52" s="1"/>
      <c r="M52" s="1"/>
      <c r="N52" s="1"/>
      <c r="O52" s="249"/>
    </row>
    <row r="53" spans="1:15" ht="14.25" customHeight="1">
      <c r="A53" s="303">
        <v>14</v>
      </c>
      <c r="B53" s="304"/>
      <c r="C53" s="81" t="s">
        <v>107</v>
      </c>
      <c r="D53" s="304" t="s">
        <v>138</v>
      </c>
      <c r="E53" s="252">
        <f t="shared" si="0"/>
        <v>488.59999999999997</v>
      </c>
      <c r="F53" s="118">
        <f>440+F55+F54+21.9</f>
        <v>485.2</v>
      </c>
      <c r="G53" s="118">
        <f>275.8+G55+G54+5.3</f>
        <v>298.9</v>
      </c>
      <c r="H53" s="118">
        <v>3.4</v>
      </c>
      <c r="I53" s="1"/>
      <c r="J53" s="1"/>
      <c r="K53" s="1"/>
      <c r="L53" s="1"/>
      <c r="M53" s="1"/>
      <c r="N53" s="1"/>
      <c r="O53" s="249"/>
    </row>
    <row r="54" spans="1:15" ht="25.5" customHeight="1">
      <c r="A54" s="303"/>
      <c r="B54" s="304"/>
      <c r="C54" s="243" t="s">
        <v>609</v>
      </c>
      <c r="D54" s="304"/>
      <c r="E54" s="252">
        <f t="shared" si="0"/>
        <v>7.7</v>
      </c>
      <c r="F54" s="118">
        <v>7.7</v>
      </c>
      <c r="G54" s="118">
        <v>5.9</v>
      </c>
      <c r="H54" s="118"/>
      <c r="I54" s="1"/>
      <c r="J54" s="1"/>
      <c r="K54" s="1"/>
      <c r="L54" s="1"/>
      <c r="M54" s="1"/>
      <c r="N54" s="1"/>
      <c r="O54" s="249"/>
    </row>
    <row r="55" spans="1:15" ht="28.5" customHeight="1">
      <c r="A55" s="303"/>
      <c r="B55" s="304"/>
      <c r="C55" s="243" t="s">
        <v>592</v>
      </c>
      <c r="D55" s="304"/>
      <c r="E55" s="252">
        <f t="shared" si="0"/>
        <v>15.6</v>
      </c>
      <c r="F55" s="118">
        <v>15.6</v>
      </c>
      <c r="G55" s="118">
        <v>11.9</v>
      </c>
      <c r="H55" s="118"/>
      <c r="I55" s="1"/>
      <c r="J55" s="1"/>
      <c r="K55" s="1"/>
      <c r="L55" s="1"/>
      <c r="M55" s="1"/>
      <c r="N55" s="1"/>
      <c r="O55" s="249"/>
    </row>
    <row r="56" spans="1:15" ht="16.5" customHeight="1">
      <c r="A56" s="303">
        <v>15</v>
      </c>
      <c r="B56" s="304"/>
      <c r="C56" s="93" t="s">
        <v>420</v>
      </c>
      <c r="D56" s="304" t="s">
        <v>138</v>
      </c>
      <c r="E56" s="252">
        <f>+F56+H56</f>
        <v>317.00000000000006</v>
      </c>
      <c r="F56" s="118">
        <f>283.1-47.2+F58+F57+14.2</f>
        <v>266.70000000000005</v>
      </c>
      <c r="G56" s="118">
        <f>125.1+G58+G57+5.4</f>
        <v>143.2</v>
      </c>
      <c r="H56" s="118">
        <f>47.2+3.1</f>
        <v>50.300000000000004</v>
      </c>
      <c r="I56" s="1"/>
      <c r="J56" s="1"/>
      <c r="K56" s="1"/>
      <c r="L56" s="1"/>
      <c r="M56" s="1"/>
      <c r="N56" s="1"/>
      <c r="O56" s="249"/>
    </row>
    <row r="57" spans="1:15" ht="26.25" customHeight="1">
      <c r="A57" s="303"/>
      <c r="B57" s="304"/>
      <c r="C57" s="243" t="s">
        <v>609</v>
      </c>
      <c r="D57" s="304"/>
      <c r="E57" s="252">
        <f t="shared" si="0"/>
        <v>3.3</v>
      </c>
      <c r="F57" s="118">
        <v>3.3</v>
      </c>
      <c r="G57" s="118">
        <v>2.5</v>
      </c>
      <c r="H57" s="118"/>
      <c r="I57" s="1"/>
      <c r="J57" s="1"/>
      <c r="K57" s="1"/>
      <c r="L57" s="1"/>
      <c r="M57" s="1"/>
      <c r="N57" s="1"/>
      <c r="O57" s="249"/>
    </row>
    <row r="58" spans="1:15" ht="26.25" customHeight="1">
      <c r="A58" s="303"/>
      <c r="B58" s="304"/>
      <c r="C58" s="243" t="s">
        <v>592</v>
      </c>
      <c r="D58" s="304"/>
      <c r="E58" s="252">
        <f t="shared" si="0"/>
        <v>13.3</v>
      </c>
      <c r="F58" s="118">
        <v>13.3</v>
      </c>
      <c r="G58" s="118">
        <v>10.2</v>
      </c>
      <c r="H58" s="118"/>
      <c r="I58" s="1"/>
      <c r="J58" s="1"/>
      <c r="K58" s="1"/>
      <c r="L58" s="1"/>
      <c r="M58" s="1"/>
      <c r="N58" s="1"/>
      <c r="O58" s="249"/>
    </row>
    <row r="59" spans="1:15" ht="27" customHeight="1">
      <c r="A59" s="303">
        <v>16</v>
      </c>
      <c r="B59" s="304"/>
      <c r="C59" s="81" t="s">
        <v>352</v>
      </c>
      <c r="D59" s="304" t="s">
        <v>139</v>
      </c>
      <c r="E59" s="252">
        <f t="shared" si="0"/>
        <v>406.4</v>
      </c>
      <c r="F59" s="118">
        <f>357.2+F61+F60-6.6+10.2</f>
        <v>386.29999999999995</v>
      </c>
      <c r="G59" s="118">
        <f>179.6+G61+G60+7.8</f>
        <v>206.8</v>
      </c>
      <c r="H59" s="118">
        <f>6.6+13.5</f>
        <v>20.1</v>
      </c>
      <c r="I59" s="1"/>
      <c r="J59" s="1"/>
      <c r="K59" s="1"/>
      <c r="L59" s="1"/>
      <c r="M59" s="1"/>
      <c r="N59" s="1"/>
      <c r="O59" s="249"/>
    </row>
    <row r="60" spans="1:15" ht="27" customHeight="1">
      <c r="A60" s="303"/>
      <c r="B60" s="304"/>
      <c r="C60" s="243" t="s">
        <v>609</v>
      </c>
      <c r="D60" s="304"/>
      <c r="E60" s="252">
        <f t="shared" si="0"/>
        <v>2.8</v>
      </c>
      <c r="F60" s="118">
        <v>2.8</v>
      </c>
      <c r="G60" s="118">
        <v>2.1</v>
      </c>
      <c r="H60" s="118"/>
      <c r="I60" s="1"/>
      <c r="J60" s="1"/>
      <c r="K60" s="1"/>
      <c r="L60" s="1"/>
      <c r="M60" s="1"/>
      <c r="N60" s="1"/>
      <c r="O60" s="249"/>
    </row>
    <row r="61" spans="1:15" ht="27" customHeight="1">
      <c r="A61" s="303"/>
      <c r="B61" s="304"/>
      <c r="C61" s="243" t="s">
        <v>592</v>
      </c>
      <c r="D61" s="304"/>
      <c r="E61" s="252">
        <f t="shared" si="0"/>
        <v>22.7</v>
      </c>
      <c r="F61" s="118">
        <v>22.7</v>
      </c>
      <c r="G61" s="118">
        <v>17.3</v>
      </c>
      <c r="H61" s="118"/>
      <c r="I61" s="1"/>
      <c r="J61" s="1"/>
      <c r="K61" s="1"/>
      <c r="L61" s="1"/>
      <c r="M61" s="1"/>
      <c r="N61" s="1"/>
      <c r="O61" s="249"/>
    </row>
    <row r="62" spans="1:15" ht="17.25" customHeight="1">
      <c r="A62" s="303">
        <v>17</v>
      </c>
      <c r="B62" s="304"/>
      <c r="C62" s="93" t="s">
        <v>354</v>
      </c>
      <c r="D62" s="304" t="s">
        <v>139</v>
      </c>
      <c r="E62" s="252">
        <f t="shared" si="0"/>
        <v>300.6</v>
      </c>
      <c r="F62" s="118">
        <f>248.9+F65+F64+F63+17.5</f>
        <v>300.6</v>
      </c>
      <c r="G62" s="118">
        <f>138.3+G65+G64+G63+6</f>
        <v>170.4</v>
      </c>
      <c r="H62" s="118"/>
      <c r="I62" s="1"/>
      <c r="J62" s="1"/>
      <c r="K62" s="1"/>
      <c r="L62" s="1"/>
      <c r="M62" s="1"/>
      <c r="N62" s="1"/>
      <c r="O62" s="249"/>
    </row>
    <row r="63" spans="1:15" ht="30" customHeight="1">
      <c r="A63" s="303"/>
      <c r="B63" s="304"/>
      <c r="C63" s="243" t="s">
        <v>609</v>
      </c>
      <c r="D63" s="304"/>
      <c r="E63" s="252">
        <f t="shared" si="0"/>
        <v>5</v>
      </c>
      <c r="F63" s="118">
        <v>5</v>
      </c>
      <c r="G63" s="118">
        <v>3.8</v>
      </c>
      <c r="H63" s="118"/>
      <c r="I63" s="1"/>
      <c r="J63" s="1"/>
      <c r="K63" s="1"/>
      <c r="L63" s="1"/>
      <c r="M63" s="1"/>
      <c r="N63" s="1"/>
      <c r="O63" s="249"/>
    </row>
    <row r="64" spans="1:15" ht="24" customHeight="1">
      <c r="A64" s="303"/>
      <c r="B64" s="304"/>
      <c r="C64" s="81" t="s">
        <v>608</v>
      </c>
      <c r="D64" s="304"/>
      <c r="E64" s="252">
        <f t="shared" si="0"/>
        <v>2.1</v>
      </c>
      <c r="F64" s="118">
        <v>2.1</v>
      </c>
      <c r="G64" s="118">
        <v>1.6</v>
      </c>
      <c r="H64" s="118"/>
      <c r="I64" s="1"/>
      <c r="J64" s="1"/>
      <c r="K64" s="1"/>
      <c r="L64" s="1"/>
      <c r="M64" s="1"/>
      <c r="N64" s="1"/>
      <c r="O64" s="249"/>
    </row>
    <row r="65" spans="1:15" ht="28.5" customHeight="1">
      <c r="A65" s="303"/>
      <c r="B65" s="304"/>
      <c r="C65" s="243" t="s">
        <v>592</v>
      </c>
      <c r="D65" s="304"/>
      <c r="E65" s="252">
        <f t="shared" si="0"/>
        <v>27.1</v>
      </c>
      <c r="F65" s="118">
        <v>27.1</v>
      </c>
      <c r="G65" s="118">
        <v>20.7</v>
      </c>
      <c r="H65" s="118"/>
      <c r="I65" s="1"/>
      <c r="J65" s="1"/>
      <c r="K65" s="1"/>
      <c r="L65" s="1"/>
      <c r="M65" s="1"/>
      <c r="N65" s="1"/>
      <c r="O65" s="249"/>
    </row>
    <row r="66" spans="1:15" ht="18.75" customHeight="1">
      <c r="A66" s="303">
        <v>18</v>
      </c>
      <c r="B66" s="304"/>
      <c r="C66" s="81" t="s">
        <v>353</v>
      </c>
      <c r="D66" s="304" t="s">
        <v>139</v>
      </c>
      <c r="E66" s="252">
        <f t="shared" si="0"/>
        <v>310.00000000000006</v>
      </c>
      <c r="F66" s="118">
        <f>263.8+F68+F67+1+18.3</f>
        <v>310.00000000000006</v>
      </c>
      <c r="G66" s="118">
        <f>153.6+G68+G67+12.3</f>
        <v>186.4</v>
      </c>
      <c r="H66" s="118"/>
      <c r="I66" s="1"/>
      <c r="J66" s="1"/>
      <c r="K66" s="1"/>
      <c r="L66" s="1"/>
      <c r="M66" s="1"/>
      <c r="N66" s="1"/>
      <c r="O66" s="249"/>
    </row>
    <row r="67" spans="1:15" ht="27.75" customHeight="1">
      <c r="A67" s="303"/>
      <c r="B67" s="304"/>
      <c r="C67" s="243" t="s">
        <v>609</v>
      </c>
      <c r="D67" s="304"/>
      <c r="E67" s="252">
        <f t="shared" si="0"/>
        <v>7.6</v>
      </c>
      <c r="F67" s="118">
        <v>7.6</v>
      </c>
      <c r="G67" s="118">
        <v>5.8</v>
      </c>
      <c r="H67" s="118"/>
      <c r="I67" s="1"/>
      <c r="J67" s="1"/>
      <c r="K67" s="1"/>
      <c r="L67" s="1"/>
      <c r="M67" s="1"/>
      <c r="N67" s="1"/>
      <c r="O67" s="249"/>
    </row>
    <row r="68" spans="1:15" ht="25.5" customHeight="1">
      <c r="A68" s="303"/>
      <c r="B68" s="304"/>
      <c r="C68" s="243" t="s">
        <v>592</v>
      </c>
      <c r="D68" s="304"/>
      <c r="E68" s="252">
        <f t="shared" si="0"/>
        <v>19.3</v>
      </c>
      <c r="F68" s="118">
        <v>19.3</v>
      </c>
      <c r="G68" s="118">
        <v>14.7</v>
      </c>
      <c r="H68" s="118"/>
      <c r="I68" s="1"/>
      <c r="J68" s="1"/>
      <c r="K68" s="1"/>
      <c r="L68" s="1"/>
      <c r="M68" s="1"/>
      <c r="N68" s="1"/>
      <c r="O68" s="249"/>
    </row>
    <row r="69" spans="1:15" ht="16.5" customHeight="1">
      <c r="A69" s="303">
        <v>19</v>
      </c>
      <c r="B69" s="304"/>
      <c r="C69" s="81" t="s">
        <v>108</v>
      </c>
      <c r="D69" s="304" t="s">
        <v>139</v>
      </c>
      <c r="E69" s="252">
        <f t="shared" si="0"/>
        <v>164.10000000000002</v>
      </c>
      <c r="F69" s="118">
        <f>144.9+F71+F70+9.6</f>
        <v>164.10000000000002</v>
      </c>
      <c r="G69" s="118">
        <f>88.7+G71+G70+3.8</f>
        <v>99.8</v>
      </c>
      <c r="H69" s="118"/>
      <c r="I69" s="1"/>
      <c r="J69" s="1"/>
      <c r="K69" s="1"/>
      <c r="L69" s="1"/>
      <c r="M69" s="1"/>
      <c r="N69" s="1"/>
      <c r="O69" s="249"/>
    </row>
    <row r="70" spans="1:15" ht="27.75" customHeight="1">
      <c r="A70" s="303"/>
      <c r="B70" s="304"/>
      <c r="C70" s="243" t="s">
        <v>609</v>
      </c>
      <c r="D70" s="304"/>
      <c r="E70" s="252">
        <f t="shared" si="0"/>
        <v>3.3</v>
      </c>
      <c r="F70" s="118">
        <v>3.3</v>
      </c>
      <c r="G70" s="118">
        <v>2.5</v>
      </c>
      <c r="H70" s="118"/>
      <c r="I70" s="1"/>
      <c r="J70" s="1"/>
      <c r="K70" s="1"/>
      <c r="L70" s="1"/>
      <c r="M70" s="1"/>
      <c r="N70" s="1"/>
      <c r="O70" s="249"/>
    </row>
    <row r="71" spans="1:15" ht="26.25" customHeight="1">
      <c r="A71" s="303"/>
      <c r="B71" s="304"/>
      <c r="C71" s="243" t="s">
        <v>592</v>
      </c>
      <c r="D71" s="304"/>
      <c r="E71" s="252">
        <f t="shared" si="0"/>
        <v>6.3</v>
      </c>
      <c r="F71" s="118">
        <v>6.3</v>
      </c>
      <c r="G71" s="118">
        <v>4.8</v>
      </c>
      <c r="H71" s="118"/>
      <c r="I71" s="1"/>
      <c r="J71" s="1"/>
      <c r="K71" s="1"/>
      <c r="L71" s="1"/>
      <c r="M71" s="1"/>
      <c r="N71" s="1"/>
      <c r="O71" s="249"/>
    </row>
    <row r="72" spans="1:15" ht="14.25" customHeight="1">
      <c r="A72" s="303">
        <v>20</v>
      </c>
      <c r="B72" s="304"/>
      <c r="C72" s="81" t="s">
        <v>417</v>
      </c>
      <c r="D72" s="304" t="s">
        <v>139</v>
      </c>
      <c r="E72" s="252">
        <f t="shared" si="0"/>
        <v>469.8</v>
      </c>
      <c r="F72" s="118">
        <f>411.8+F75+F73+F74+1.7+25.9</f>
        <v>464.8</v>
      </c>
      <c r="G72" s="118">
        <f>243.4+G75+G73+G74+5.5</f>
        <v>268.3</v>
      </c>
      <c r="H72" s="118">
        <v>5</v>
      </c>
      <c r="I72" s="1"/>
      <c r="J72" s="1"/>
      <c r="K72" s="1"/>
      <c r="L72" s="1"/>
      <c r="M72" s="1"/>
      <c r="N72" s="1"/>
      <c r="O72" s="249"/>
    </row>
    <row r="73" spans="1:15" ht="26.25" customHeight="1">
      <c r="A73" s="303"/>
      <c r="B73" s="304"/>
      <c r="C73" s="243" t="s">
        <v>609</v>
      </c>
      <c r="D73" s="304"/>
      <c r="E73" s="252">
        <f t="shared" si="0"/>
        <v>7.1</v>
      </c>
      <c r="F73" s="118">
        <v>7.1</v>
      </c>
      <c r="G73" s="118">
        <v>5.4</v>
      </c>
      <c r="H73" s="118"/>
      <c r="I73" s="1"/>
      <c r="J73" s="1"/>
      <c r="K73" s="1"/>
      <c r="L73" s="1"/>
      <c r="M73" s="1"/>
      <c r="N73" s="1"/>
      <c r="O73" s="249"/>
    </row>
    <row r="74" spans="1:15" ht="26.25" customHeight="1">
      <c r="A74" s="303"/>
      <c r="B74" s="304"/>
      <c r="C74" s="243" t="s">
        <v>608</v>
      </c>
      <c r="D74" s="304"/>
      <c r="E74" s="252">
        <f t="shared" si="0"/>
        <v>4.8</v>
      </c>
      <c r="F74" s="118">
        <v>4.8</v>
      </c>
      <c r="G74" s="118">
        <v>3.7</v>
      </c>
      <c r="H74" s="118"/>
      <c r="I74" s="1"/>
      <c r="J74" s="1"/>
      <c r="K74" s="1"/>
      <c r="L74" s="1"/>
      <c r="M74" s="1"/>
      <c r="N74" s="1"/>
      <c r="O74" s="249"/>
    </row>
    <row r="75" spans="1:15" ht="27" customHeight="1">
      <c r="A75" s="303"/>
      <c r="B75" s="304"/>
      <c r="C75" s="243" t="s">
        <v>592</v>
      </c>
      <c r="D75" s="304"/>
      <c r="E75" s="252">
        <f t="shared" si="0"/>
        <v>13.5</v>
      </c>
      <c r="F75" s="118">
        <v>13.5</v>
      </c>
      <c r="G75" s="118">
        <v>10.3</v>
      </c>
      <c r="H75" s="118"/>
      <c r="I75" s="1"/>
      <c r="J75" s="1"/>
      <c r="K75" s="1"/>
      <c r="L75" s="1"/>
      <c r="M75" s="1"/>
      <c r="N75" s="1"/>
      <c r="O75" s="249"/>
    </row>
    <row r="76" spans="1:15" ht="12" customHeight="1">
      <c r="A76" s="303">
        <v>21</v>
      </c>
      <c r="B76" s="304"/>
      <c r="C76" s="81" t="s">
        <v>611</v>
      </c>
      <c r="D76" s="304" t="s">
        <v>139</v>
      </c>
      <c r="E76" s="252">
        <f t="shared" si="0"/>
        <v>117.30000000000001</v>
      </c>
      <c r="F76" s="118">
        <f>100.4+F78+F77+3.3+6.4</f>
        <v>117.30000000000001</v>
      </c>
      <c r="G76" s="118">
        <f>58+G78+G77+2.5</f>
        <v>66</v>
      </c>
      <c r="H76" s="118"/>
      <c r="I76" s="1"/>
      <c r="J76" s="1"/>
      <c r="K76" s="1"/>
      <c r="L76" s="1"/>
      <c r="M76" s="1"/>
      <c r="N76" s="1"/>
      <c r="O76" s="249"/>
    </row>
    <row r="77" spans="1:15" ht="28.5" customHeight="1">
      <c r="A77" s="303"/>
      <c r="B77" s="304"/>
      <c r="C77" s="243" t="s">
        <v>609</v>
      </c>
      <c r="D77" s="304"/>
      <c r="E77" s="252">
        <f t="shared" si="0"/>
        <v>0.9</v>
      </c>
      <c r="F77" s="118">
        <v>0.9</v>
      </c>
      <c r="G77" s="118">
        <v>0.7</v>
      </c>
      <c r="H77" s="118"/>
      <c r="I77" s="1"/>
      <c r="J77" s="1"/>
      <c r="K77" s="1"/>
      <c r="L77" s="1"/>
      <c r="M77" s="1"/>
      <c r="N77" s="1"/>
      <c r="O77" s="249"/>
    </row>
    <row r="78" spans="1:15" ht="27" customHeight="1">
      <c r="A78" s="303"/>
      <c r="B78" s="304"/>
      <c r="C78" s="243" t="s">
        <v>592</v>
      </c>
      <c r="D78" s="304"/>
      <c r="E78" s="252">
        <f t="shared" si="0"/>
        <v>6.3</v>
      </c>
      <c r="F78" s="118">
        <v>6.3</v>
      </c>
      <c r="G78" s="118">
        <v>4.8</v>
      </c>
      <c r="H78" s="118"/>
      <c r="I78" s="1"/>
      <c r="J78" s="1"/>
      <c r="K78" s="1"/>
      <c r="L78" s="1"/>
      <c r="M78" s="1"/>
      <c r="N78" s="1"/>
      <c r="O78" s="249"/>
    </row>
    <row r="79" spans="1:15" ht="14.25" customHeight="1">
      <c r="A79" s="303">
        <v>22</v>
      </c>
      <c r="B79" s="304"/>
      <c r="C79" s="81" t="s">
        <v>109</v>
      </c>
      <c r="D79" s="304" t="s">
        <v>139</v>
      </c>
      <c r="E79" s="252">
        <f t="shared" si="0"/>
        <v>139.7</v>
      </c>
      <c r="F79" s="118">
        <f>124+F81+F80-1.6+7</f>
        <v>138.1</v>
      </c>
      <c r="G79" s="118">
        <f>79.2+G81+G80+3.4</f>
        <v>89.30000000000001</v>
      </c>
      <c r="H79" s="118">
        <v>1.6</v>
      </c>
      <c r="I79" s="1"/>
      <c r="J79" s="1"/>
      <c r="K79" s="1"/>
      <c r="L79" s="1"/>
      <c r="M79" s="1"/>
      <c r="N79" s="1"/>
      <c r="O79" s="249"/>
    </row>
    <row r="80" spans="1:15" ht="27" customHeight="1">
      <c r="A80" s="303"/>
      <c r="B80" s="304"/>
      <c r="C80" s="243" t="s">
        <v>609</v>
      </c>
      <c r="D80" s="304"/>
      <c r="E80" s="252">
        <f t="shared" si="0"/>
        <v>2.6</v>
      </c>
      <c r="F80" s="118">
        <v>2.6</v>
      </c>
      <c r="G80" s="118">
        <v>2</v>
      </c>
      <c r="H80" s="118"/>
      <c r="I80" s="1"/>
      <c r="J80" s="1"/>
      <c r="K80" s="1"/>
      <c r="L80" s="1"/>
      <c r="M80" s="1"/>
      <c r="N80" s="1"/>
      <c r="O80" s="249"/>
    </row>
    <row r="81" spans="1:15" ht="30" customHeight="1">
      <c r="A81" s="303"/>
      <c r="B81" s="304"/>
      <c r="C81" s="243" t="s">
        <v>592</v>
      </c>
      <c r="D81" s="304"/>
      <c r="E81" s="252">
        <f t="shared" si="0"/>
        <v>6.1</v>
      </c>
      <c r="F81" s="118">
        <v>6.1</v>
      </c>
      <c r="G81" s="118">
        <v>4.7</v>
      </c>
      <c r="H81" s="118"/>
      <c r="I81" s="1"/>
      <c r="J81" s="1"/>
      <c r="K81" s="1"/>
      <c r="L81" s="1"/>
      <c r="M81" s="1"/>
      <c r="N81" s="1"/>
      <c r="O81" s="249"/>
    </row>
    <row r="82" spans="1:15" ht="18.75" customHeight="1">
      <c r="A82" s="303">
        <v>23</v>
      </c>
      <c r="B82" s="304"/>
      <c r="C82" s="81" t="s">
        <v>419</v>
      </c>
      <c r="D82" s="304" t="s">
        <v>139</v>
      </c>
      <c r="E82" s="252">
        <f t="shared" si="0"/>
        <v>137.29999999999998</v>
      </c>
      <c r="F82" s="118">
        <f>114.1+F85+F84+F83+4.7+7.8</f>
        <v>137.29999999999998</v>
      </c>
      <c r="G82" s="118">
        <f>64.4+G85+G84+G83+2.8</f>
        <v>75.30000000000001</v>
      </c>
      <c r="H82" s="118"/>
      <c r="I82" s="1"/>
      <c r="J82" s="1"/>
      <c r="K82" s="1"/>
      <c r="L82" s="1"/>
      <c r="M82" s="1"/>
      <c r="N82" s="1"/>
      <c r="O82" s="249"/>
    </row>
    <row r="83" spans="1:15" ht="27.75" customHeight="1">
      <c r="A83" s="303"/>
      <c r="B83" s="304"/>
      <c r="C83" s="243" t="s">
        <v>609</v>
      </c>
      <c r="D83" s="304"/>
      <c r="E83" s="252">
        <f t="shared" si="0"/>
        <v>1.6</v>
      </c>
      <c r="F83" s="118">
        <v>1.6</v>
      </c>
      <c r="G83" s="118">
        <v>1.2</v>
      </c>
      <c r="H83" s="118"/>
      <c r="I83" s="1"/>
      <c r="J83" s="1"/>
      <c r="K83" s="1"/>
      <c r="L83" s="1"/>
      <c r="M83" s="1"/>
      <c r="N83" s="1"/>
      <c r="O83" s="249"/>
    </row>
    <row r="84" spans="1:15" ht="24" customHeight="1">
      <c r="A84" s="303"/>
      <c r="B84" s="304"/>
      <c r="C84" s="81" t="s">
        <v>608</v>
      </c>
      <c r="D84" s="304"/>
      <c r="E84" s="252">
        <f t="shared" si="0"/>
        <v>2.5</v>
      </c>
      <c r="F84" s="118">
        <v>2.5</v>
      </c>
      <c r="G84" s="118">
        <v>1.9</v>
      </c>
      <c r="H84" s="118"/>
      <c r="I84" s="1"/>
      <c r="J84" s="1"/>
      <c r="K84" s="1"/>
      <c r="L84" s="1"/>
      <c r="M84" s="1"/>
      <c r="N84" s="1"/>
      <c r="O84" s="249"/>
    </row>
    <row r="85" spans="1:15" ht="31.5" customHeight="1">
      <c r="A85" s="303"/>
      <c r="B85" s="304"/>
      <c r="C85" s="243" t="s">
        <v>592</v>
      </c>
      <c r="D85" s="304"/>
      <c r="E85" s="252">
        <f t="shared" si="0"/>
        <v>6.6</v>
      </c>
      <c r="F85" s="118">
        <v>6.6</v>
      </c>
      <c r="G85" s="118">
        <v>5</v>
      </c>
      <c r="H85" s="118"/>
      <c r="I85" s="1"/>
      <c r="J85" s="1"/>
      <c r="K85" s="1"/>
      <c r="L85" s="1"/>
      <c r="M85" s="1"/>
      <c r="N85" s="1"/>
      <c r="O85" s="249"/>
    </row>
    <row r="86" spans="1:15" ht="20.25" customHeight="1">
      <c r="A86" s="303">
        <v>24</v>
      </c>
      <c r="B86" s="331"/>
      <c r="C86" s="81" t="s">
        <v>293</v>
      </c>
      <c r="D86" s="330" t="s">
        <v>284</v>
      </c>
      <c r="E86" s="252">
        <f t="shared" si="0"/>
        <v>318.09999999999997</v>
      </c>
      <c r="F86" s="118">
        <f>284.2+F88+F87+21.9</f>
        <v>316.79999999999995</v>
      </c>
      <c r="G86" s="118">
        <f>158.1+G88+G87+10.2</f>
        <v>176.39999999999998</v>
      </c>
      <c r="H86" s="118">
        <v>1.3</v>
      </c>
      <c r="I86" s="1"/>
      <c r="J86" s="1"/>
      <c r="K86" s="1"/>
      <c r="L86" s="1"/>
      <c r="M86" s="1"/>
      <c r="N86" s="1"/>
      <c r="O86" s="249"/>
    </row>
    <row r="87" spans="1:15" ht="30" customHeight="1">
      <c r="A87" s="303"/>
      <c r="B87" s="331"/>
      <c r="C87" s="243" t="s">
        <v>609</v>
      </c>
      <c r="D87" s="330"/>
      <c r="E87" s="252">
        <f t="shared" si="0"/>
        <v>3.3</v>
      </c>
      <c r="F87" s="118">
        <v>3.3</v>
      </c>
      <c r="G87" s="118">
        <v>2.5</v>
      </c>
      <c r="H87" s="118"/>
      <c r="I87" s="1"/>
      <c r="J87" s="1"/>
      <c r="K87" s="1"/>
      <c r="L87" s="1"/>
      <c r="M87" s="1"/>
      <c r="N87" s="1"/>
      <c r="O87" s="249"/>
    </row>
    <row r="88" spans="1:15" ht="27.75" customHeight="1">
      <c r="A88" s="303"/>
      <c r="B88" s="331"/>
      <c r="C88" s="243" t="s">
        <v>592</v>
      </c>
      <c r="D88" s="330"/>
      <c r="E88" s="252">
        <f t="shared" si="0"/>
        <v>7.4</v>
      </c>
      <c r="F88" s="118">
        <v>7.4</v>
      </c>
      <c r="G88" s="118">
        <v>5.6</v>
      </c>
      <c r="H88" s="118"/>
      <c r="I88" s="1"/>
      <c r="J88" s="1"/>
      <c r="K88" s="1"/>
      <c r="L88" s="1"/>
      <c r="M88" s="1"/>
      <c r="N88" s="1"/>
      <c r="O88" s="249"/>
    </row>
    <row r="89" spans="1:15" ht="13.5" customHeight="1">
      <c r="A89" s="303">
        <v>25</v>
      </c>
      <c r="B89" s="331"/>
      <c r="C89" s="93" t="s">
        <v>118</v>
      </c>
      <c r="D89" s="304" t="s">
        <v>139</v>
      </c>
      <c r="E89" s="252">
        <f t="shared" si="0"/>
        <v>13.600000000000001</v>
      </c>
      <c r="F89" s="118">
        <f>+F91+F90</f>
        <v>13.600000000000001</v>
      </c>
      <c r="G89" s="118">
        <f>+G91+G90</f>
        <v>10.299999999999999</v>
      </c>
      <c r="H89" s="118"/>
      <c r="I89" s="1"/>
      <c r="J89" s="1"/>
      <c r="K89" s="1"/>
      <c r="L89" s="1"/>
      <c r="M89" s="1"/>
      <c r="N89" s="1"/>
      <c r="O89" s="249"/>
    </row>
    <row r="90" spans="1:15" ht="27" customHeight="1">
      <c r="A90" s="303"/>
      <c r="B90" s="331"/>
      <c r="C90" s="81" t="s">
        <v>608</v>
      </c>
      <c r="D90" s="304"/>
      <c r="E90" s="252">
        <f t="shared" si="0"/>
        <v>2.8</v>
      </c>
      <c r="F90" s="118">
        <v>2.8</v>
      </c>
      <c r="G90" s="118">
        <v>2.1</v>
      </c>
      <c r="H90" s="118"/>
      <c r="I90" s="1"/>
      <c r="J90" s="1"/>
      <c r="K90" s="1"/>
      <c r="L90" s="1"/>
      <c r="M90" s="1"/>
      <c r="N90" s="1"/>
      <c r="O90" s="249"/>
    </row>
    <row r="91" spans="1:15" ht="27.75" customHeight="1">
      <c r="A91" s="303"/>
      <c r="B91" s="331"/>
      <c r="C91" s="243" t="s">
        <v>592</v>
      </c>
      <c r="D91" s="304"/>
      <c r="E91" s="252">
        <f t="shared" si="0"/>
        <v>10.8</v>
      </c>
      <c r="F91" s="118">
        <v>10.8</v>
      </c>
      <c r="G91" s="118">
        <v>8.2</v>
      </c>
      <c r="H91" s="118"/>
      <c r="I91" s="1"/>
      <c r="J91" s="1"/>
      <c r="K91" s="1"/>
      <c r="L91" s="1"/>
      <c r="M91" s="1"/>
      <c r="N91" s="1"/>
      <c r="O91" s="249"/>
    </row>
    <row r="92" spans="1:15" ht="12" customHeight="1">
      <c r="A92" s="303">
        <v>26</v>
      </c>
      <c r="B92" s="304"/>
      <c r="C92" s="93" t="s">
        <v>127</v>
      </c>
      <c r="D92" s="304" t="s">
        <v>140</v>
      </c>
      <c r="E92" s="252">
        <f t="shared" si="0"/>
        <v>141</v>
      </c>
      <c r="F92" s="118">
        <f>140.3+F93</f>
        <v>141</v>
      </c>
      <c r="G92" s="118">
        <f>107.1+G93</f>
        <v>107.6</v>
      </c>
      <c r="H92" s="118"/>
      <c r="I92" s="1"/>
      <c r="J92" s="1"/>
      <c r="K92" s="1"/>
      <c r="L92" s="1"/>
      <c r="M92" s="1"/>
      <c r="N92" s="1"/>
      <c r="O92" s="249"/>
    </row>
    <row r="93" spans="1:15" ht="28.5" customHeight="1">
      <c r="A93" s="303"/>
      <c r="B93" s="304"/>
      <c r="C93" s="243" t="s">
        <v>609</v>
      </c>
      <c r="D93" s="304"/>
      <c r="E93" s="252">
        <f t="shared" si="0"/>
        <v>0.7</v>
      </c>
      <c r="F93" s="118">
        <v>0.7</v>
      </c>
      <c r="G93" s="118">
        <v>0.5</v>
      </c>
      <c r="H93" s="118"/>
      <c r="I93" s="1"/>
      <c r="J93" s="1"/>
      <c r="K93" s="1"/>
      <c r="L93" s="1"/>
      <c r="M93" s="1"/>
      <c r="N93" s="1"/>
      <c r="O93" s="249"/>
    </row>
    <row r="94" spans="1:15" ht="12" customHeight="1">
      <c r="A94" s="303">
        <v>27</v>
      </c>
      <c r="B94" s="304"/>
      <c r="C94" s="93" t="s">
        <v>116</v>
      </c>
      <c r="D94" s="304" t="s">
        <v>140</v>
      </c>
      <c r="E94" s="252">
        <f t="shared" si="0"/>
        <v>193.4</v>
      </c>
      <c r="F94" s="118">
        <f>191.4+F95</f>
        <v>193.4</v>
      </c>
      <c r="G94" s="118">
        <f>146.1+G95+0.4</f>
        <v>148</v>
      </c>
      <c r="H94" s="118"/>
      <c r="I94" s="1"/>
      <c r="J94" s="1"/>
      <c r="K94" s="1"/>
      <c r="L94" s="1"/>
      <c r="M94" s="1"/>
      <c r="N94" s="1"/>
      <c r="O94" s="249"/>
    </row>
    <row r="95" spans="1:15" ht="26.25" customHeight="1">
      <c r="A95" s="303"/>
      <c r="B95" s="304"/>
      <c r="C95" s="243" t="s">
        <v>609</v>
      </c>
      <c r="D95" s="304"/>
      <c r="E95" s="252">
        <f t="shared" si="0"/>
        <v>2</v>
      </c>
      <c r="F95" s="118">
        <v>2</v>
      </c>
      <c r="G95" s="118">
        <v>1.5</v>
      </c>
      <c r="H95" s="118"/>
      <c r="I95" s="1"/>
      <c r="J95" s="1"/>
      <c r="K95" s="1"/>
      <c r="L95" s="1"/>
      <c r="M95" s="1"/>
      <c r="N95" s="1"/>
      <c r="O95" s="249"/>
    </row>
    <row r="96" spans="1:15" ht="12" customHeight="1">
      <c r="A96" s="303">
        <v>28</v>
      </c>
      <c r="B96" s="304"/>
      <c r="C96" s="93" t="s">
        <v>117</v>
      </c>
      <c r="D96" s="304" t="s">
        <v>140</v>
      </c>
      <c r="E96" s="252">
        <f t="shared" si="0"/>
        <v>617.9</v>
      </c>
      <c r="F96" s="118">
        <f>616.9+F97</f>
        <v>617.9</v>
      </c>
      <c r="G96" s="118">
        <f>471+G97+1</f>
        <v>472.8</v>
      </c>
      <c r="H96" s="118"/>
      <c r="I96" s="1"/>
      <c r="J96" s="1"/>
      <c r="K96" s="1"/>
      <c r="L96" s="1"/>
      <c r="M96" s="1"/>
      <c r="N96" s="1"/>
      <c r="O96" s="249"/>
    </row>
    <row r="97" spans="1:15" ht="25.5" customHeight="1">
      <c r="A97" s="303"/>
      <c r="B97" s="304"/>
      <c r="C97" s="243" t="s">
        <v>609</v>
      </c>
      <c r="D97" s="304"/>
      <c r="E97" s="252">
        <f t="shared" si="0"/>
        <v>1</v>
      </c>
      <c r="F97" s="118">
        <v>1</v>
      </c>
      <c r="G97" s="118">
        <v>0.8</v>
      </c>
      <c r="H97" s="118"/>
      <c r="I97" s="1"/>
      <c r="J97" s="1"/>
      <c r="K97" s="1"/>
      <c r="L97" s="1"/>
      <c r="M97" s="1"/>
      <c r="N97" s="1"/>
      <c r="O97" s="249"/>
    </row>
    <row r="98" spans="1:15" ht="16.5" customHeight="1">
      <c r="A98" s="303">
        <v>29</v>
      </c>
      <c r="B98" s="304"/>
      <c r="C98" s="93" t="s">
        <v>294</v>
      </c>
      <c r="D98" s="304" t="s">
        <v>140</v>
      </c>
      <c r="E98" s="252">
        <f t="shared" si="0"/>
        <v>586.1999999999999</v>
      </c>
      <c r="F98" s="118">
        <f>500.2-10+F99+3.4+24.2</f>
        <v>520.1999999999999</v>
      </c>
      <c r="G98" s="118">
        <f>260.9+G99</f>
        <v>262.7</v>
      </c>
      <c r="H98" s="118">
        <f>10+56</f>
        <v>66</v>
      </c>
      <c r="I98" s="1"/>
      <c r="J98" s="1"/>
      <c r="K98" s="1"/>
      <c r="L98" s="1"/>
      <c r="M98" s="1"/>
      <c r="N98" s="1"/>
      <c r="O98" s="249"/>
    </row>
    <row r="99" spans="1:15" ht="27.75" customHeight="1">
      <c r="A99" s="303"/>
      <c r="B99" s="304"/>
      <c r="C99" s="243" t="s">
        <v>609</v>
      </c>
      <c r="D99" s="304"/>
      <c r="E99" s="252">
        <f t="shared" si="0"/>
        <v>2.4</v>
      </c>
      <c r="F99" s="118">
        <v>2.4</v>
      </c>
      <c r="G99" s="118">
        <v>1.8</v>
      </c>
      <c r="H99" s="118"/>
      <c r="I99" s="1"/>
      <c r="J99" s="1"/>
      <c r="K99" s="1"/>
      <c r="L99" s="1"/>
      <c r="M99" s="1"/>
      <c r="N99" s="1"/>
      <c r="O99" s="249"/>
    </row>
    <row r="100" spans="1:15" ht="16.5" customHeight="1">
      <c r="A100" s="303">
        <v>30</v>
      </c>
      <c r="B100" s="304"/>
      <c r="C100" s="93" t="s">
        <v>412</v>
      </c>
      <c r="D100" s="330" t="s">
        <v>919</v>
      </c>
      <c r="E100" s="252">
        <f>+F100+H100</f>
        <v>250.29999999999998</v>
      </c>
      <c r="F100" s="118">
        <f>99+F102+F103+F104+2.2+4.6</f>
        <v>250.29999999999998</v>
      </c>
      <c r="G100" s="118">
        <f>65+G102+G103+G104+1.7+2.8</f>
        <v>71.5</v>
      </c>
      <c r="H100" s="118"/>
      <c r="I100" s="1"/>
      <c r="J100" s="1"/>
      <c r="K100" s="1"/>
      <c r="L100" s="1"/>
      <c r="M100" s="1"/>
      <c r="N100" s="1"/>
      <c r="O100" s="249"/>
    </row>
    <row r="101" spans="1:15" ht="12.75" customHeight="1">
      <c r="A101" s="303"/>
      <c r="B101" s="304"/>
      <c r="C101" s="253" t="s">
        <v>154</v>
      </c>
      <c r="D101" s="330"/>
      <c r="E101" s="252"/>
      <c r="F101" s="118"/>
      <c r="G101" s="118"/>
      <c r="H101" s="118"/>
      <c r="I101" s="1"/>
      <c r="J101" s="1"/>
      <c r="K101" s="1"/>
      <c r="L101" s="1"/>
      <c r="M101" s="1"/>
      <c r="N101" s="1"/>
      <c r="O101" s="249"/>
    </row>
    <row r="102" spans="1:15" ht="15" customHeight="1">
      <c r="A102" s="303"/>
      <c r="B102" s="304"/>
      <c r="C102" s="253" t="s">
        <v>593</v>
      </c>
      <c r="D102" s="330"/>
      <c r="E102" s="252">
        <f>+F102+H102</f>
        <v>141.9</v>
      </c>
      <c r="F102" s="118">
        <f>122.9+19</f>
        <v>141.9</v>
      </c>
      <c r="G102" s="118"/>
      <c r="H102" s="118"/>
      <c r="I102" s="1"/>
      <c r="J102" s="1"/>
      <c r="K102" s="1"/>
      <c r="L102" s="1"/>
      <c r="M102" s="1"/>
      <c r="N102" s="1"/>
      <c r="O102" s="249"/>
    </row>
    <row r="103" spans="1:15" ht="26.25" customHeight="1">
      <c r="A103" s="303"/>
      <c r="B103" s="304"/>
      <c r="C103" s="243" t="s">
        <v>594</v>
      </c>
      <c r="D103" s="330"/>
      <c r="E103" s="252">
        <f aca="true" t="shared" si="1" ref="E103:E111">+F103+H103</f>
        <v>1.9</v>
      </c>
      <c r="F103" s="118">
        <v>1.9</v>
      </c>
      <c r="G103" s="118">
        <v>1.5</v>
      </c>
      <c r="H103" s="118"/>
      <c r="I103" s="1"/>
      <c r="J103" s="1"/>
      <c r="K103" s="1"/>
      <c r="L103" s="1"/>
      <c r="M103" s="1"/>
      <c r="N103" s="1"/>
      <c r="O103" s="249"/>
    </row>
    <row r="104" spans="1:15" ht="29.25" customHeight="1">
      <c r="A104" s="303"/>
      <c r="B104" s="304"/>
      <c r="C104" s="243" t="s">
        <v>874</v>
      </c>
      <c r="D104" s="12"/>
      <c r="E104" s="252">
        <f t="shared" si="1"/>
        <v>0.7</v>
      </c>
      <c r="F104" s="118">
        <v>0.7</v>
      </c>
      <c r="G104" s="118">
        <v>0.5</v>
      </c>
      <c r="H104" s="118"/>
      <c r="I104" s="1"/>
      <c r="J104" s="1"/>
      <c r="K104" s="1"/>
      <c r="L104" s="1"/>
      <c r="M104" s="1"/>
      <c r="N104" s="1"/>
      <c r="O104" s="249"/>
    </row>
    <row r="105" spans="1:15" ht="18.75" customHeight="1">
      <c r="A105" s="303">
        <v>31</v>
      </c>
      <c r="B105" s="304"/>
      <c r="C105" s="254" t="s">
        <v>15</v>
      </c>
      <c r="D105" s="304" t="s">
        <v>136</v>
      </c>
      <c r="E105" s="252">
        <f t="shared" si="1"/>
        <v>79.1</v>
      </c>
      <c r="F105" s="118">
        <f>74+F107+F106+0.5+2.1</f>
        <v>79.1</v>
      </c>
      <c r="G105" s="118">
        <f>44+G107+G106+0.4+1</f>
        <v>47.3</v>
      </c>
      <c r="H105" s="118"/>
      <c r="I105" s="1"/>
      <c r="J105" s="1"/>
      <c r="K105" s="1"/>
      <c r="L105" s="1"/>
      <c r="M105" s="1"/>
      <c r="N105" s="1"/>
      <c r="O105" s="249"/>
    </row>
    <row r="106" spans="1:15" ht="26.25" customHeight="1">
      <c r="A106" s="303"/>
      <c r="B106" s="304"/>
      <c r="C106" s="243" t="s">
        <v>609</v>
      </c>
      <c r="D106" s="304"/>
      <c r="E106" s="252">
        <f t="shared" si="1"/>
        <v>1</v>
      </c>
      <c r="F106" s="118">
        <v>1</v>
      </c>
      <c r="G106" s="118">
        <v>0.8</v>
      </c>
      <c r="H106" s="118"/>
      <c r="I106" s="1"/>
      <c r="J106" s="1"/>
      <c r="K106" s="1"/>
      <c r="L106" s="1"/>
      <c r="M106" s="1"/>
      <c r="N106" s="1"/>
      <c r="O106" s="249"/>
    </row>
    <row r="107" spans="1:15" ht="26.25" customHeight="1">
      <c r="A107" s="303"/>
      <c r="B107" s="304"/>
      <c r="C107" s="243" t="s">
        <v>592</v>
      </c>
      <c r="D107" s="304"/>
      <c r="E107" s="252">
        <f t="shared" si="1"/>
        <v>1.5</v>
      </c>
      <c r="F107" s="118">
        <v>1.5</v>
      </c>
      <c r="G107" s="118">
        <v>1.1</v>
      </c>
      <c r="H107" s="118"/>
      <c r="I107" s="1"/>
      <c r="J107" s="1"/>
      <c r="K107" s="1"/>
      <c r="L107" s="1"/>
      <c r="M107" s="1"/>
      <c r="N107" s="1"/>
      <c r="O107" s="249"/>
    </row>
    <row r="108" spans="1:15" ht="13.5" customHeight="1">
      <c r="A108" s="303">
        <v>32</v>
      </c>
      <c r="B108" s="304"/>
      <c r="C108" s="254" t="s">
        <v>21</v>
      </c>
      <c r="D108" s="304" t="s">
        <v>136</v>
      </c>
      <c r="E108" s="252">
        <f t="shared" si="1"/>
        <v>79.6</v>
      </c>
      <c r="F108" s="118">
        <f>73+F110+F109+3.6</f>
        <v>79.6</v>
      </c>
      <c r="G108" s="118">
        <f>40+G110+G109+2.8</f>
        <v>45.099999999999994</v>
      </c>
      <c r="H108" s="118"/>
      <c r="I108" s="1"/>
      <c r="J108" s="1"/>
      <c r="K108" s="1"/>
      <c r="L108" s="1"/>
      <c r="M108" s="1"/>
      <c r="N108" s="1"/>
      <c r="O108" s="249"/>
    </row>
    <row r="109" spans="1:15" ht="25.5" customHeight="1">
      <c r="A109" s="303"/>
      <c r="B109" s="304"/>
      <c r="C109" s="243" t="s">
        <v>609</v>
      </c>
      <c r="D109" s="304"/>
      <c r="E109" s="252">
        <f t="shared" si="1"/>
        <v>1.9</v>
      </c>
      <c r="F109" s="118">
        <v>1.9</v>
      </c>
      <c r="G109" s="118">
        <v>1.5</v>
      </c>
      <c r="H109" s="118"/>
      <c r="I109" s="1"/>
      <c r="J109" s="1"/>
      <c r="K109" s="1"/>
      <c r="L109" s="1"/>
      <c r="M109" s="1"/>
      <c r="N109" s="1"/>
      <c r="O109" s="249"/>
    </row>
    <row r="110" spans="1:15" ht="26.25" customHeight="1">
      <c r="A110" s="303"/>
      <c r="B110" s="304"/>
      <c r="C110" s="243" t="s">
        <v>592</v>
      </c>
      <c r="D110" s="304"/>
      <c r="E110" s="252">
        <f t="shared" si="1"/>
        <v>1.1</v>
      </c>
      <c r="F110" s="118">
        <v>1.1</v>
      </c>
      <c r="G110" s="118">
        <v>0.8</v>
      </c>
      <c r="H110" s="118"/>
      <c r="I110" s="1"/>
      <c r="J110" s="1"/>
      <c r="K110" s="1"/>
      <c r="L110" s="1"/>
      <c r="M110" s="1"/>
      <c r="N110" s="1"/>
      <c r="O110" s="249"/>
    </row>
    <row r="111" spans="1:15" ht="12" customHeight="1">
      <c r="A111" s="70">
        <v>33</v>
      </c>
      <c r="B111" s="10"/>
      <c r="C111" s="91" t="s">
        <v>141</v>
      </c>
      <c r="D111" s="10"/>
      <c r="E111" s="252">
        <f t="shared" si="1"/>
        <v>775.4</v>
      </c>
      <c r="F111" s="252">
        <f>+F113+F114+F115+F116</f>
        <v>560.9</v>
      </c>
      <c r="G111" s="252">
        <f>+G113+G114+G115+G116</f>
        <v>69.6</v>
      </c>
      <c r="H111" s="252">
        <f>+H113+H114+H115+H116</f>
        <v>214.5</v>
      </c>
      <c r="I111" s="1"/>
      <c r="J111" s="1"/>
      <c r="K111" s="1"/>
      <c r="L111" s="1"/>
      <c r="M111" s="1"/>
      <c r="N111" s="1"/>
      <c r="O111" s="249"/>
    </row>
    <row r="112" spans="1:15" ht="12" customHeight="1">
      <c r="A112" s="70"/>
      <c r="B112" s="10"/>
      <c r="C112" s="255" t="s">
        <v>142</v>
      </c>
      <c r="D112" s="10"/>
      <c r="E112" s="252"/>
      <c r="F112" s="252"/>
      <c r="G112" s="252"/>
      <c r="H112" s="252"/>
      <c r="I112" s="1"/>
      <c r="J112" s="1"/>
      <c r="K112" s="1"/>
      <c r="L112" s="1"/>
      <c r="M112" s="1"/>
      <c r="N112" s="1"/>
      <c r="O112" s="249"/>
    </row>
    <row r="113" spans="1:15" ht="14.25" customHeight="1">
      <c r="A113" s="256" t="s">
        <v>662</v>
      </c>
      <c r="B113" s="165"/>
      <c r="C113" s="93" t="s">
        <v>3</v>
      </c>
      <c r="D113" s="12" t="s">
        <v>459</v>
      </c>
      <c r="E113" s="252">
        <f aca="true" t="shared" si="2" ref="E113:E128">+F113+H113</f>
        <v>95.4</v>
      </c>
      <c r="F113" s="252">
        <f>88.9+6.5</f>
        <v>95.4</v>
      </c>
      <c r="G113" s="118">
        <f>64.5+5.1</f>
        <v>69.6</v>
      </c>
      <c r="H113" s="118"/>
      <c r="I113" s="1"/>
      <c r="J113" s="1"/>
      <c r="K113" s="1"/>
      <c r="L113" s="1"/>
      <c r="M113" s="1"/>
      <c r="N113" s="1"/>
      <c r="O113" s="249"/>
    </row>
    <row r="114" spans="1:15" ht="17.25" customHeight="1">
      <c r="A114" s="108" t="s">
        <v>663</v>
      </c>
      <c r="B114" s="10"/>
      <c r="C114" s="255" t="s">
        <v>552</v>
      </c>
      <c r="D114" s="10" t="s">
        <v>143</v>
      </c>
      <c r="E114" s="252">
        <f t="shared" si="2"/>
        <v>18</v>
      </c>
      <c r="F114" s="252">
        <v>18</v>
      </c>
      <c r="G114" s="118"/>
      <c r="H114" s="118"/>
      <c r="I114" s="1"/>
      <c r="J114" s="1"/>
      <c r="K114" s="1"/>
      <c r="L114" s="1"/>
      <c r="M114" s="1"/>
      <c r="N114" s="1"/>
      <c r="O114" s="249"/>
    </row>
    <row r="115" spans="1:15" ht="17.25" customHeight="1">
      <c r="A115" s="256" t="s">
        <v>664</v>
      </c>
      <c r="B115" s="10"/>
      <c r="C115" s="255" t="s">
        <v>553</v>
      </c>
      <c r="D115" s="10" t="s">
        <v>144</v>
      </c>
      <c r="E115" s="252">
        <f t="shared" si="2"/>
        <v>10.2</v>
      </c>
      <c r="F115" s="252">
        <v>10.2</v>
      </c>
      <c r="G115" s="118"/>
      <c r="H115" s="118"/>
      <c r="I115" s="1"/>
      <c r="J115" s="1"/>
      <c r="K115" s="1"/>
      <c r="L115" s="1"/>
      <c r="M115" s="1"/>
      <c r="N115" s="1"/>
      <c r="O115" s="249"/>
    </row>
    <row r="116" spans="1:17" ht="39" customHeight="1">
      <c r="A116" s="108" t="s">
        <v>665</v>
      </c>
      <c r="B116" s="10"/>
      <c r="C116" s="94" t="s">
        <v>478</v>
      </c>
      <c r="D116" s="10"/>
      <c r="E116" s="252">
        <f>+F116+H116</f>
        <v>651.8</v>
      </c>
      <c r="F116" s="252">
        <f>SUM(F117:F125)</f>
        <v>437.3</v>
      </c>
      <c r="G116" s="252">
        <f>SUM(G117:G125)</f>
        <v>0</v>
      </c>
      <c r="H116" s="252">
        <f>SUM(H117:H125)</f>
        <v>214.5</v>
      </c>
      <c r="I116" s="1"/>
      <c r="J116" s="1"/>
      <c r="K116" s="1"/>
      <c r="L116" s="1"/>
      <c r="M116" s="1"/>
      <c r="N116" s="1"/>
      <c r="O116" s="249"/>
      <c r="Q116" s="129"/>
    </row>
    <row r="117" spans="1:15" ht="18.75" customHeight="1">
      <c r="A117" s="108" t="s">
        <v>666</v>
      </c>
      <c r="B117" s="10"/>
      <c r="C117" s="13" t="s">
        <v>467</v>
      </c>
      <c r="D117" s="10" t="s">
        <v>138</v>
      </c>
      <c r="E117" s="252">
        <f t="shared" si="2"/>
        <v>7.5</v>
      </c>
      <c r="F117" s="252">
        <v>7.5</v>
      </c>
      <c r="G117" s="252"/>
      <c r="H117" s="252"/>
      <c r="I117" s="1"/>
      <c r="J117" s="1"/>
      <c r="K117" s="1"/>
      <c r="L117" s="1"/>
      <c r="M117" s="1"/>
      <c r="N117" s="1"/>
      <c r="O117" s="249"/>
    </row>
    <row r="118" spans="1:15" ht="27" customHeight="1">
      <c r="A118" s="108" t="s">
        <v>667</v>
      </c>
      <c r="B118" s="10"/>
      <c r="C118" s="13" t="s">
        <v>361</v>
      </c>
      <c r="D118" s="10" t="s">
        <v>139</v>
      </c>
      <c r="E118" s="252">
        <f t="shared" si="2"/>
        <v>188</v>
      </c>
      <c r="F118" s="252"/>
      <c r="G118" s="118"/>
      <c r="H118" s="118">
        <v>188</v>
      </c>
      <c r="I118" s="1"/>
      <c r="J118" s="1"/>
      <c r="K118" s="1"/>
      <c r="L118" s="1"/>
      <c r="M118" s="1"/>
      <c r="N118" s="1"/>
      <c r="O118" s="249"/>
    </row>
    <row r="119" spans="1:18" ht="28.5" customHeight="1">
      <c r="A119" s="108" t="s">
        <v>668</v>
      </c>
      <c r="B119" s="10"/>
      <c r="C119" s="13" t="s">
        <v>468</v>
      </c>
      <c r="D119" s="10" t="s">
        <v>139</v>
      </c>
      <c r="E119" s="252">
        <f t="shared" si="2"/>
        <v>20</v>
      </c>
      <c r="F119" s="252">
        <v>20</v>
      </c>
      <c r="G119" s="118"/>
      <c r="H119" s="118"/>
      <c r="I119" s="1"/>
      <c r="J119" s="1"/>
      <c r="K119" s="1"/>
      <c r="L119" s="1"/>
      <c r="M119" s="1"/>
      <c r="N119" s="1"/>
      <c r="O119" s="249"/>
      <c r="R119" s="2" t="s">
        <v>886</v>
      </c>
    </row>
    <row r="120" spans="1:15" ht="27" customHeight="1">
      <c r="A120" s="108" t="s">
        <v>669</v>
      </c>
      <c r="B120" s="10"/>
      <c r="C120" s="49" t="s">
        <v>586</v>
      </c>
      <c r="D120" s="10" t="s">
        <v>139</v>
      </c>
      <c r="E120" s="252">
        <f t="shared" si="2"/>
        <v>26.5</v>
      </c>
      <c r="F120" s="252"/>
      <c r="G120" s="118"/>
      <c r="H120" s="118">
        <f>68-41.5</f>
        <v>26.5</v>
      </c>
      <c r="I120" s="1"/>
      <c r="J120" s="1"/>
      <c r="K120" s="1"/>
      <c r="L120" s="1"/>
      <c r="M120" s="1"/>
      <c r="N120" s="1"/>
      <c r="O120" s="249"/>
    </row>
    <row r="121" spans="1:15" ht="40.5" customHeight="1">
      <c r="A121" s="108" t="s">
        <v>670</v>
      </c>
      <c r="B121" s="10"/>
      <c r="C121" s="49" t="s">
        <v>362</v>
      </c>
      <c r="D121" s="12" t="s">
        <v>920</v>
      </c>
      <c r="E121" s="252">
        <f t="shared" si="2"/>
        <v>12.5</v>
      </c>
      <c r="F121" s="252">
        <f>10+2.5</f>
        <v>12.5</v>
      </c>
      <c r="G121" s="118"/>
      <c r="H121" s="118"/>
      <c r="I121" s="1"/>
      <c r="J121" s="1"/>
      <c r="K121" s="1"/>
      <c r="L121" s="1"/>
      <c r="M121" s="1"/>
      <c r="N121" s="1"/>
      <c r="O121" s="249"/>
    </row>
    <row r="122" spans="1:15" ht="71.25" customHeight="1">
      <c r="A122" s="108" t="s">
        <v>671</v>
      </c>
      <c r="B122" s="10"/>
      <c r="C122" s="49" t="s">
        <v>363</v>
      </c>
      <c r="D122" s="12" t="s">
        <v>387</v>
      </c>
      <c r="E122" s="252">
        <f t="shared" si="2"/>
        <v>27</v>
      </c>
      <c r="F122" s="252">
        <f>15+12</f>
        <v>27</v>
      </c>
      <c r="G122" s="118"/>
      <c r="H122" s="118"/>
      <c r="I122" s="1"/>
      <c r="J122" s="1"/>
      <c r="K122" s="1"/>
      <c r="L122" s="1"/>
      <c r="M122" s="1"/>
      <c r="N122" s="1"/>
      <c r="O122" s="249"/>
    </row>
    <row r="123" spans="1:15" ht="28.5" customHeight="1">
      <c r="A123" s="108" t="s">
        <v>672</v>
      </c>
      <c r="B123" s="10"/>
      <c r="C123" s="49" t="s">
        <v>469</v>
      </c>
      <c r="D123" s="10" t="s">
        <v>139</v>
      </c>
      <c r="E123" s="252">
        <f>+F123+H123</f>
        <v>15</v>
      </c>
      <c r="F123" s="252">
        <v>15</v>
      </c>
      <c r="G123" s="118"/>
      <c r="H123" s="118">
        <f>15-15</f>
        <v>0</v>
      </c>
      <c r="I123" s="1"/>
      <c r="J123" s="1"/>
      <c r="K123" s="1"/>
      <c r="L123" s="1"/>
      <c r="M123" s="1"/>
      <c r="N123" s="1"/>
      <c r="O123" s="249"/>
    </row>
    <row r="124" spans="1:15" ht="17.25" customHeight="1">
      <c r="A124" s="108" t="s">
        <v>673</v>
      </c>
      <c r="B124" s="10"/>
      <c r="C124" s="49" t="s">
        <v>470</v>
      </c>
      <c r="D124" s="10" t="s">
        <v>139</v>
      </c>
      <c r="E124" s="252">
        <f>+F124+H124</f>
        <v>45</v>
      </c>
      <c r="F124" s="252">
        <v>45</v>
      </c>
      <c r="G124" s="118"/>
      <c r="H124" s="118"/>
      <c r="I124" s="1"/>
      <c r="J124" s="1"/>
      <c r="K124" s="1"/>
      <c r="L124" s="1"/>
      <c r="M124" s="1"/>
      <c r="N124" s="1"/>
      <c r="O124" s="249"/>
    </row>
    <row r="125" spans="1:15" ht="81" customHeight="1">
      <c r="A125" s="108" t="s">
        <v>674</v>
      </c>
      <c r="B125" s="10"/>
      <c r="C125" s="49" t="s">
        <v>471</v>
      </c>
      <c r="D125" s="12" t="s">
        <v>536</v>
      </c>
      <c r="E125" s="252">
        <f>+F125+H125</f>
        <v>310.3</v>
      </c>
      <c r="F125" s="252">
        <f>250+60.3</f>
        <v>310.3</v>
      </c>
      <c r="G125" s="118"/>
      <c r="H125" s="118"/>
      <c r="I125" s="1"/>
      <c r="J125" s="1"/>
      <c r="K125" s="1"/>
      <c r="L125" s="1"/>
      <c r="M125" s="1"/>
      <c r="N125" s="1"/>
      <c r="O125" s="249"/>
    </row>
    <row r="126" spans="1:15" ht="19.5" customHeight="1">
      <c r="A126" s="70">
        <v>34</v>
      </c>
      <c r="B126" s="8" t="s">
        <v>145</v>
      </c>
      <c r="C126" s="11" t="s">
        <v>146</v>
      </c>
      <c r="D126" s="9"/>
      <c r="E126" s="119">
        <f>+F126+H126</f>
        <v>476.79999999999995</v>
      </c>
      <c r="F126" s="119">
        <f>+F127+F129</f>
        <v>378.09999999999997</v>
      </c>
      <c r="G126" s="119">
        <f>+G127+G129</f>
        <v>22.4</v>
      </c>
      <c r="H126" s="119">
        <f>+H127+H129</f>
        <v>98.7</v>
      </c>
      <c r="I126" s="1"/>
      <c r="J126" s="1"/>
      <c r="K126" s="1"/>
      <c r="L126" s="1"/>
      <c r="M126" s="1"/>
      <c r="N126" s="1"/>
      <c r="O126" s="249"/>
    </row>
    <row r="127" spans="1:15" ht="25.5" customHeight="1">
      <c r="A127" s="303">
        <v>35</v>
      </c>
      <c r="B127" s="332"/>
      <c r="C127" s="81" t="s">
        <v>124</v>
      </c>
      <c r="D127" s="330" t="s">
        <v>147</v>
      </c>
      <c r="E127" s="118">
        <f t="shared" si="2"/>
        <v>30.4</v>
      </c>
      <c r="F127" s="118">
        <f>27.8+F128+1+1.2</f>
        <v>30.4</v>
      </c>
      <c r="G127" s="118">
        <f>21.2+G128+0.9</f>
        <v>22.4</v>
      </c>
      <c r="H127" s="118"/>
      <c r="I127" s="1"/>
      <c r="J127" s="1"/>
      <c r="K127" s="1"/>
      <c r="L127" s="1"/>
      <c r="M127" s="1"/>
      <c r="N127" s="1"/>
      <c r="O127" s="249"/>
    </row>
    <row r="128" spans="1:15" ht="25.5" customHeight="1">
      <c r="A128" s="303"/>
      <c r="B128" s="332"/>
      <c r="C128" s="243" t="s">
        <v>609</v>
      </c>
      <c r="D128" s="330"/>
      <c r="E128" s="118">
        <f t="shared" si="2"/>
        <v>0.4</v>
      </c>
      <c r="F128" s="118">
        <v>0.4</v>
      </c>
      <c r="G128" s="118">
        <v>0.3</v>
      </c>
      <c r="H128" s="118"/>
      <c r="I128" s="1"/>
      <c r="J128" s="1"/>
      <c r="K128" s="1"/>
      <c r="L128" s="1"/>
      <c r="M128" s="1"/>
      <c r="N128" s="1"/>
      <c r="O128" s="249"/>
    </row>
    <row r="129" spans="1:15" ht="12" customHeight="1">
      <c r="A129" s="70">
        <v>36</v>
      </c>
      <c r="B129" s="10"/>
      <c r="C129" s="91" t="s">
        <v>141</v>
      </c>
      <c r="D129" s="12"/>
      <c r="E129" s="118">
        <f>+F129+H129</f>
        <v>446.4</v>
      </c>
      <c r="F129" s="118">
        <f>SUM(F130:F147)</f>
        <v>347.7</v>
      </c>
      <c r="G129" s="118">
        <f>SUM(G130:G147)</f>
        <v>0</v>
      </c>
      <c r="H129" s="118">
        <f>SUM(H130:H147)</f>
        <v>98.7</v>
      </c>
      <c r="I129" s="1"/>
      <c r="J129" s="1"/>
      <c r="K129" s="1"/>
      <c r="L129" s="1"/>
      <c r="M129" s="1"/>
      <c r="N129" s="1"/>
      <c r="O129" s="249"/>
    </row>
    <row r="130" spans="1:15" ht="12" customHeight="1">
      <c r="A130" s="70"/>
      <c r="B130" s="10"/>
      <c r="C130" s="48" t="s">
        <v>335</v>
      </c>
      <c r="D130" s="10"/>
      <c r="E130" s="118"/>
      <c r="F130" s="118"/>
      <c r="G130" s="118"/>
      <c r="H130" s="118"/>
      <c r="I130" s="1"/>
      <c r="J130" s="1"/>
      <c r="K130" s="1"/>
      <c r="L130" s="1"/>
      <c r="M130" s="1"/>
      <c r="N130" s="1"/>
      <c r="O130" s="249"/>
    </row>
    <row r="131" spans="1:15" ht="12" customHeight="1">
      <c r="A131" s="108" t="s">
        <v>675</v>
      </c>
      <c r="B131" s="10"/>
      <c r="C131" s="93" t="s">
        <v>3</v>
      </c>
      <c r="D131" s="10" t="s">
        <v>288</v>
      </c>
      <c r="E131" s="118">
        <f aca="true" t="shared" si="3" ref="E131:E151">+F131+H131</f>
        <v>1</v>
      </c>
      <c r="F131" s="118">
        <v>1</v>
      </c>
      <c r="G131" s="118"/>
      <c r="H131" s="118"/>
      <c r="I131" s="1"/>
      <c r="J131" s="1"/>
      <c r="K131" s="1"/>
      <c r="L131" s="1"/>
      <c r="M131" s="1"/>
      <c r="N131" s="1"/>
      <c r="O131" s="249"/>
    </row>
    <row r="132" spans="1:15" ht="42.75" customHeight="1">
      <c r="A132" s="108" t="s">
        <v>676</v>
      </c>
      <c r="B132" s="10"/>
      <c r="C132" s="47" t="s">
        <v>534</v>
      </c>
      <c r="D132" s="12" t="s">
        <v>149</v>
      </c>
      <c r="E132" s="118">
        <f t="shared" si="3"/>
        <v>10</v>
      </c>
      <c r="F132" s="118">
        <v>10</v>
      </c>
      <c r="G132" s="118"/>
      <c r="H132" s="118"/>
      <c r="I132" s="1"/>
      <c r="J132" s="1"/>
      <c r="K132" s="1"/>
      <c r="L132" s="1"/>
      <c r="M132" s="1"/>
      <c r="N132" s="1"/>
      <c r="O132" s="249"/>
    </row>
    <row r="133" spans="1:15" ht="42.75" customHeight="1">
      <c r="A133" s="108" t="s">
        <v>677</v>
      </c>
      <c r="B133" s="10"/>
      <c r="C133" s="47" t="s">
        <v>535</v>
      </c>
      <c r="D133" s="12" t="s">
        <v>150</v>
      </c>
      <c r="E133" s="118">
        <f t="shared" si="3"/>
        <v>10.5</v>
      </c>
      <c r="F133" s="118">
        <v>10.5</v>
      </c>
      <c r="G133" s="118"/>
      <c r="H133" s="118"/>
      <c r="I133" s="1"/>
      <c r="J133" s="1"/>
      <c r="K133" s="1"/>
      <c r="L133" s="1"/>
      <c r="M133" s="1"/>
      <c r="N133" s="1"/>
      <c r="O133" s="249"/>
    </row>
    <row r="134" spans="1:15" ht="42.75" customHeight="1">
      <c r="A134" s="108" t="s">
        <v>678</v>
      </c>
      <c r="B134" s="10"/>
      <c r="C134" s="47" t="s">
        <v>533</v>
      </c>
      <c r="D134" s="12" t="s">
        <v>149</v>
      </c>
      <c r="E134" s="118">
        <f t="shared" si="3"/>
        <v>20</v>
      </c>
      <c r="F134" s="118">
        <f>18+2</f>
        <v>20</v>
      </c>
      <c r="G134" s="118"/>
      <c r="H134" s="118"/>
      <c r="I134" s="1"/>
      <c r="J134" s="1"/>
      <c r="K134" s="1"/>
      <c r="L134" s="1"/>
      <c r="M134" s="1"/>
      <c r="N134" s="1"/>
      <c r="O134" s="249"/>
    </row>
    <row r="135" spans="1:15" ht="30.75" customHeight="1">
      <c r="A135" s="108" t="s">
        <v>679</v>
      </c>
      <c r="B135" s="10"/>
      <c r="C135" s="47" t="s">
        <v>461</v>
      </c>
      <c r="D135" s="12" t="s">
        <v>148</v>
      </c>
      <c r="E135" s="118">
        <f t="shared" si="3"/>
        <v>12.1</v>
      </c>
      <c r="F135" s="118">
        <v>12.1</v>
      </c>
      <c r="G135" s="118"/>
      <c r="H135" s="118"/>
      <c r="I135" s="1"/>
      <c r="J135" s="1"/>
      <c r="K135" s="1"/>
      <c r="L135" s="1"/>
      <c r="M135" s="1"/>
      <c r="N135" s="1"/>
      <c r="O135" s="249"/>
    </row>
    <row r="136" spans="1:15" ht="40.5" customHeight="1">
      <c r="A136" s="108" t="s">
        <v>680</v>
      </c>
      <c r="B136" s="10"/>
      <c r="C136" s="47" t="s">
        <v>460</v>
      </c>
      <c r="D136" s="12" t="s">
        <v>148</v>
      </c>
      <c r="E136" s="118">
        <f t="shared" si="3"/>
        <v>5.6</v>
      </c>
      <c r="F136" s="118">
        <v>5.6</v>
      </c>
      <c r="G136" s="118"/>
      <c r="H136" s="118"/>
      <c r="I136" s="1"/>
      <c r="J136" s="1"/>
      <c r="K136" s="1"/>
      <c r="L136" s="1"/>
      <c r="M136" s="1"/>
      <c r="N136" s="1"/>
      <c r="O136" s="249"/>
    </row>
    <row r="137" spans="1:15" ht="39" customHeight="1">
      <c r="A137" s="108" t="s">
        <v>681</v>
      </c>
      <c r="B137" s="10"/>
      <c r="C137" s="47" t="s">
        <v>462</v>
      </c>
      <c r="D137" s="12" t="s">
        <v>148</v>
      </c>
      <c r="E137" s="118">
        <f t="shared" si="3"/>
        <v>5.9</v>
      </c>
      <c r="F137" s="118">
        <v>5.9</v>
      </c>
      <c r="G137" s="118"/>
      <c r="H137" s="118"/>
      <c r="I137" s="1"/>
      <c r="J137" s="1"/>
      <c r="K137" s="1"/>
      <c r="L137" s="1"/>
      <c r="M137" s="1"/>
      <c r="N137" s="1"/>
      <c r="O137" s="249"/>
    </row>
    <row r="138" spans="1:15" ht="42.75" customHeight="1">
      <c r="A138" s="108" t="s">
        <v>682</v>
      </c>
      <c r="B138" s="10"/>
      <c r="C138" s="47" t="s">
        <v>531</v>
      </c>
      <c r="D138" s="12" t="s">
        <v>148</v>
      </c>
      <c r="E138" s="118">
        <f>+F138+H138</f>
        <v>13.2</v>
      </c>
      <c r="F138" s="118">
        <v>13.2</v>
      </c>
      <c r="G138" s="118"/>
      <c r="H138" s="118"/>
      <c r="I138" s="1"/>
      <c r="J138" s="1"/>
      <c r="K138" s="1"/>
      <c r="L138" s="1"/>
      <c r="M138" s="1"/>
      <c r="N138" s="1"/>
      <c r="O138" s="249"/>
    </row>
    <row r="139" spans="1:15" ht="40.5" customHeight="1">
      <c r="A139" s="108" t="s">
        <v>683</v>
      </c>
      <c r="B139" s="10"/>
      <c r="C139" s="47" t="s">
        <v>532</v>
      </c>
      <c r="D139" s="12" t="s">
        <v>148</v>
      </c>
      <c r="E139" s="118">
        <f t="shared" si="3"/>
        <v>18.6</v>
      </c>
      <c r="F139" s="118">
        <v>18.6</v>
      </c>
      <c r="G139" s="118"/>
      <c r="H139" s="118"/>
      <c r="I139" s="1"/>
      <c r="J139" s="1"/>
      <c r="K139" s="1"/>
      <c r="L139" s="1"/>
      <c r="M139" s="1"/>
      <c r="N139" s="1"/>
      <c r="O139" s="249"/>
    </row>
    <row r="140" spans="1:15" ht="42" customHeight="1">
      <c r="A140" s="108" t="s">
        <v>684</v>
      </c>
      <c r="B140" s="10"/>
      <c r="C140" s="47" t="s">
        <v>554</v>
      </c>
      <c r="D140" s="12" t="s">
        <v>148</v>
      </c>
      <c r="E140" s="118">
        <f t="shared" si="3"/>
        <v>20</v>
      </c>
      <c r="F140" s="118">
        <v>20</v>
      </c>
      <c r="G140" s="118"/>
      <c r="H140" s="118"/>
      <c r="I140" s="1"/>
      <c r="J140" s="1"/>
      <c r="K140" s="1"/>
      <c r="L140" s="1"/>
      <c r="M140" s="1"/>
      <c r="N140" s="1"/>
      <c r="O140" s="249"/>
    </row>
    <row r="141" spans="1:15" ht="36.75" customHeight="1">
      <c r="A141" s="108" t="s">
        <v>685</v>
      </c>
      <c r="B141" s="10"/>
      <c r="C141" s="47" t="s">
        <v>385</v>
      </c>
      <c r="D141" s="12" t="s">
        <v>390</v>
      </c>
      <c r="E141" s="118">
        <f t="shared" si="3"/>
        <v>12.5</v>
      </c>
      <c r="F141" s="118">
        <v>12.5</v>
      </c>
      <c r="G141" s="118"/>
      <c r="H141" s="118"/>
      <c r="I141" s="1"/>
      <c r="J141" s="1"/>
      <c r="K141" s="1"/>
      <c r="L141" s="1"/>
      <c r="M141" s="1"/>
      <c r="N141" s="1"/>
      <c r="O141" s="249"/>
    </row>
    <row r="142" spans="1:15" ht="46.5" customHeight="1">
      <c r="A142" s="108" t="s">
        <v>686</v>
      </c>
      <c r="B142" s="10"/>
      <c r="C142" s="47" t="s">
        <v>463</v>
      </c>
      <c r="D142" s="12" t="s">
        <v>390</v>
      </c>
      <c r="E142" s="118">
        <f t="shared" si="3"/>
        <v>4</v>
      </c>
      <c r="F142" s="118">
        <v>4</v>
      </c>
      <c r="G142" s="118"/>
      <c r="H142" s="118"/>
      <c r="I142" s="1"/>
      <c r="J142" s="1"/>
      <c r="K142" s="1"/>
      <c r="L142" s="1"/>
      <c r="M142" s="1"/>
      <c r="N142" s="1"/>
      <c r="O142" s="249"/>
    </row>
    <row r="143" spans="1:15" ht="42" customHeight="1">
      <c r="A143" s="108" t="s">
        <v>687</v>
      </c>
      <c r="B143" s="10"/>
      <c r="C143" s="47" t="s">
        <v>464</v>
      </c>
      <c r="D143" s="12" t="s">
        <v>148</v>
      </c>
      <c r="E143" s="118">
        <f t="shared" si="3"/>
        <v>83.2</v>
      </c>
      <c r="F143" s="118">
        <v>83.2</v>
      </c>
      <c r="G143" s="118"/>
      <c r="H143" s="118"/>
      <c r="I143" s="1"/>
      <c r="J143" s="1"/>
      <c r="K143" s="1"/>
      <c r="L143" s="1"/>
      <c r="M143" s="1"/>
      <c r="N143" s="1"/>
      <c r="O143" s="249"/>
    </row>
    <row r="144" spans="1:15" ht="42" customHeight="1">
      <c r="A144" s="108" t="s">
        <v>688</v>
      </c>
      <c r="B144" s="10"/>
      <c r="C144" s="47" t="s">
        <v>465</v>
      </c>
      <c r="D144" s="12" t="s">
        <v>390</v>
      </c>
      <c r="E144" s="118">
        <f t="shared" si="3"/>
        <v>50</v>
      </c>
      <c r="F144" s="118">
        <v>50</v>
      </c>
      <c r="G144" s="118"/>
      <c r="H144" s="118"/>
      <c r="I144" s="1"/>
      <c r="J144" s="1"/>
      <c r="K144" s="1"/>
      <c r="L144" s="1"/>
      <c r="M144" s="1"/>
      <c r="N144" s="1"/>
      <c r="O144" s="249"/>
    </row>
    <row r="145" spans="1:15" ht="42" customHeight="1">
      <c r="A145" s="108" t="s">
        <v>689</v>
      </c>
      <c r="B145" s="10"/>
      <c r="C145" s="47" t="s">
        <v>466</v>
      </c>
      <c r="D145" s="12" t="s">
        <v>148</v>
      </c>
      <c r="E145" s="118">
        <f t="shared" si="3"/>
        <v>21.4</v>
      </c>
      <c r="F145" s="118">
        <v>21.4</v>
      </c>
      <c r="G145" s="118"/>
      <c r="H145" s="118"/>
      <c r="I145" s="1"/>
      <c r="J145" s="1"/>
      <c r="K145" s="1"/>
      <c r="L145" s="1"/>
      <c r="M145" s="1"/>
      <c r="N145" s="1"/>
      <c r="O145" s="249"/>
    </row>
    <row r="146" spans="1:15" ht="29.25" customHeight="1">
      <c r="A146" s="108" t="s">
        <v>690</v>
      </c>
      <c r="B146" s="10"/>
      <c r="C146" s="47" t="s">
        <v>944</v>
      </c>
      <c r="D146" s="12" t="s">
        <v>151</v>
      </c>
      <c r="E146" s="118">
        <f t="shared" si="3"/>
        <v>42</v>
      </c>
      <c r="F146" s="118">
        <f>41+1</f>
        <v>42</v>
      </c>
      <c r="G146" s="118"/>
      <c r="H146" s="118"/>
      <c r="I146" s="1"/>
      <c r="J146" s="1"/>
      <c r="K146" s="1"/>
      <c r="L146" s="1"/>
      <c r="M146" s="1"/>
      <c r="N146" s="1"/>
      <c r="O146" s="249"/>
    </row>
    <row r="147" spans="1:15" ht="38.25" customHeight="1">
      <c r="A147" s="108" t="s">
        <v>691</v>
      </c>
      <c r="B147" s="10"/>
      <c r="C147" s="94" t="s">
        <v>478</v>
      </c>
      <c r="D147" s="12"/>
      <c r="E147" s="118">
        <f t="shared" si="3"/>
        <v>116.4</v>
      </c>
      <c r="F147" s="118">
        <f>SUM(F148:F151)</f>
        <v>17.7</v>
      </c>
      <c r="G147" s="118">
        <f>SUM(G148:G151)</f>
        <v>0</v>
      </c>
      <c r="H147" s="118">
        <f>SUM(H148:H151)</f>
        <v>98.7</v>
      </c>
      <c r="I147" s="1"/>
      <c r="J147" s="1"/>
      <c r="K147" s="1"/>
      <c r="L147" s="1"/>
      <c r="M147" s="1"/>
      <c r="N147" s="1"/>
      <c r="O147" s="249"/>
    </row>
    <row r="148" spans="1:15" ht="54.75" customHeight="1">
      <c r="A148" s="108" t="s">
        <v>692</v>
      </c>
      <c r="B148" s="10"/>
      <c r="C148" s="52" t="s">
        <v>364</v>
      </c>
      <c r="D148" s="12" t="s">
        <v>150</v>
      </c>
      <c r="E148" s="118">
        <f t="shared" si="3"/>
        <v>8.7</v>
      </c>
      <c r="F148" s="118"/>
      <c r="G148" s="118"/>
      <c r="H148" s="118">
        <v>8.7</v>
      </c>
      <c r="I148" s="1"/>
      <c r="J148" s="1"/>
      <c r="K148" s="1"/>
      <c r="L148" s="1"/>
      <c r="M148" s="1"/>
      <c r="N148" s="1"/>
      <c r="O148" s="249"/>
    </row>
    <row r="149" spans="1:15" ht="30.75" customHeight="1">
      <c r="A149" s="108" t="s">
        <v>693</v>
      </c>
      <c r="B149" s="10"/>
      <c r="C149" s="52" t="s">
        <v>472</v>
      </c>
      <c r="D149" s="12" t="s">
        <v>150</v>
      </c>
      <c r="E149" s="118">
        <f t="shared" si="3"/>
        <v>90</v>
      </c>
      <c r="F149" s="118"/>
      <c r="G149" s="118"/>
      <c r="H149" s="118">
        <v>90</v>
      </c>
      <c r="I149" s="1"/>
      <c r="J149" s="1"/>
      <c r="K149" s="1"/>
      <c r="L149" s="1"/>
      <c r="M149" s="1"/>
      <c r="N149" s="1"/>
      <c r="O149" s="249"/>
    </row>
    <row r="150" spans="1:15" ht="30.75" customHeight="1">
      <c r="A150" s="108" t="s">
        <v>694</v>
      </c>
      <c r="B150" s="10"/>
      <c r="C150" s="52" t="s">
        <v>473</v>
      </c>
      <c r="D150" s="12" t="s">
        <v>150</v>
      </c>
      <c r="E150" s="118">
        <f t="shared" si="3"/>
        <v>7.7</v>
      </c>
      <c r="F150" s="118">
        <v>7.7</v>
      </c>
      <c r="G150" s="118"/>
      <c r="H150" s="118"/>
      <c r="I150" s="1"/>
      <c r="K150" s="1"/>
      <c r="L150" s="1"/>
      <c r="M150" s="1"/>
      <c r="N150" s="1"/>
      <c r="O150" s="1"/>
    </row>
    <row r="151" spans="1:15" ht="16.5" customHeight="1">
      <c r="A151" s="108" t="s">
        <v>695</v>
      </c>
      <c r="B151" s="10"/>
      <c r="C151" s="52" t="s">
        <v>474</v>
      </c>
      <c r="D151" s="12" t="s">
        <v>537</v>
      </c>
      <c r="E151" s="118">
        <f t="shared" si="3"/>
        <v>10</v>
      </c>
      <c r="F151" s="118">
        <v>10</v>
      </c>
      <c r="G151" s="118"/>
      <c r="H151" s="118"/>
      <c r="I151" s="1"/>
      <c r="K151" s="1"/>
      <c r="L151" s="1"/>
      <c r="M151" s="1"/>
      <c r="N151" s="1"/>
      <c r="O151" s="1"/>
    </row>
    <row r="152" spans="1:15" ht="21.75" customHeight="1">
      <c r="A152" s="70">
        <v>37</v>
      </c>
      <c r="B152" s="8" t="s">
        <v>23</v>
      </c>
      <c r="C152" s="11" t="s">
        <v>24</v>
      </c>
      <c r="D152" s="9"/>
      <c r="E152" s="136">
        <f>+E153+E158+E160+E162+E164+E166+E185+E187+E188+E189+E190+E191+E192+E193+E195+E196+E197</f>
        <v>4692.199999999999</v>
      </c>
      <c r="F152" s="136">
        <f>+F153+F158+F160+F162+F164+F166+F185+F187+F188+F189+F190+F191+F192+F193+F195+F196+F197</f>
        <v>4600.499999999999</v>
      </c>
      <c r="G152" s="136">
        <f>+G153+G158+G160+G162+G164+G166+G185+G187+G188+G189+G190+G191+G192+G193+G195+G196+G197</f>
        <v>988.2000000000002</v>
      </c>
      <c r="H152" s="136">
        <f>+H153+H158+H160+H162+H164+H166+H185+H187+H188+H189+H190+H191+H192+H193+H195+H196+H197</f>
        <v>91.7</v>
      </c>
      <c r="I152" s="1"/>
      <c r="J152" s="1"/>
      <c r="K152" s="1"/>
      <c r="L152" s="1"/>
      <c r="M152" s="1"/>
      <c r="N152" s="1"/>
      <c r="O152" s="249"/>
    </row>
    <row r="153" spans="1:15" ht="12.75" customHeight="1">
      <c r="A153" s="303">
        <v>38</v>
      </c>
      <c r="B153" s="304"/>
      <c r="C153" s="93" t="s">
        <v>1</v>
      </c>
      <c r="D153" s="330" t="s">
        <v>152</v>
      </c>
      <c r="E153" s="118">
        <f aca="true" t="shared" si="4" ref="E153:E165">+F153+H153</f>
        <v>496.7</v>
      </c>
      <c r="F153" s="118">
        <f>474.1+F157+2.9+14.4</f>
        <v>495.7</v>
      </c>
      <c r="G153" s="118">
        <f>219.5+G157+9.5</f>
        <v>232.3</v>
      </c>
      <c r="H153" s="118">
        <v>1</v>
      </c>
      <c r="I153" s="1"/>
      <c r="J153" s="1"/>
      <c r="K153" s="1"/>
      <c r="L153" s="1"/>
      <c r="M153" s="1"/>
      <c r="N153" s="1"/>
      <c r="O153" s="249"/>
    </row>
    <row r="154" spans="1:15" ht="13.5" customHeight="1">
      <c r="A154" s="303"/>
      <c r="B154" s="304"/>
      <c r="C154" s="93" t="s">
        <v>154</v>
      </c>
      <c r="D154" s="330"/>
      <c r="E154" s="118"/>
      <c r="F154" s="118"/>
      <c r="G154" s="118"/>
      <c r="H154" s="118"/>
      <c r="I154" s="1"/>
      <c r="J154" s="1"/>
      <c r="K154" s="1"/>
      <c r="L154" s="1"/>
      <c r="M154" s="1"/>
      <c r="N154" s="1"/>
      <c r="O154" s="249"/>
    </row>
    <row r="155" spans="1:15" ht="18.75" customHeight="1">
      <c r="A155" s="303"/>
      <c r="B155" s="304"/>
      <c r="C155" s="25" t="s">
        <v>555</v>
      </c>
      <c r="D155" s="330"/>
      <c r="E155" s="118">
        <f t="shared" si="4"/>
        <v>163.4</v>
      </c>
      <c r="F155" s="118">
        <f>155.4+8</f>
        <v>163.4</v>
      </c>
      <c r="G155" s="118"/>
      <c r="H155" s="118"/>
      <c r="I155" s="1"/>
      <c r="J155" s="1"/>
      <c r="K155" s="1"/>
      <c r="L155" s="1"/>
      <c r="M155" s="1"/>
      <c r="N155" s="1"/>
      <c r="O155" s="249"/>
    </row>
    <row r="156" spans="1:15" ht="29.25" customHeight="1">
      <c r="A156" s="303"/>
      <c r="B156" s="304"/>
      <c r="C156" s="243" t="s">
        <v>556</v>
      </c>
      <c r="D156" s="330"/>
      <c r="E156" s="118">
        <f t="shared" si="4"/>
        <v>4.1</v>
      </c>
      <c r="F156" s="118">
        <v>4.1</v>
      </c>
      <c r="G156" s="118"/>
      <c r="H156" s="118"/>
      <c r="I156" s="1"/>
      <c r="J156" s="1"/>
      <c r="K156" s="1"/>
      <c r="L156" s="1"/>
      <c r="M156" s="1"/>
      <c r="N156" s="1"/>
      <c r="O156" s="249"/>
    </row>
    <row r="157" spans="1:15" ht="31.5" customHeight="1">
      <c r="A157" s="303"/>
      <c r="B157" s="304"/>
      <c r="C157" s="243" t="s">
        <v>610</v>
      </c>
      <c r="D157" s="330"/>
      <c r="E157" s="118">
        <f t="shared" si="4"/>
        <v>4.3</v>
      </c>
      <c r="F157" s="118">
        <v>4.3</v>
      </c>
      <c r="G157" s="118">
        <v>3.3</v>
      </c>
      <c r="H157" s="118"/>
      <c r="I157" s="1"/>
      <c r="J157" s="1"/>
      <c r="K157" s="1"/>
      <c r="L157" s="1"/>
      <c r="M157" s="1"/>
      <c r="N157" s="1"/>
      <c r="O157" s="249"/>
    </row>
    <row r="158" spans="1:15" ht="15" customHeight="1">
      <c r="A158" s="303">
        <v>39</v>
      </c>
      <c r="B158" s="304"/>
      <c r="C158" s="41" t="s">
        <v>2</v>
      </c>
      <c r="D158" s="333" t="s">
        <v>153</v>
      </c>
      <c r="E158" s="118">
        <f t="shared" si="4"/>
        <v>136.2</v>
      </c>
      <c r="F158" s="118">
        <f>132.7+F159+1.5</f>
        <v>136.2</v>
      </c>
      <c r="G158" s="118">
        <f>78.3+G159+1.2</f>
        <v>81</v>
      </c>
      <c r="H158" s="118"/>
      <c r="I158" s="1"/>
      <c r="J158" s="1"/>
      <c r="K158" s="1"/>
      <c r="L158" s="1"/>
      <c r="M158" s="1"/>
      <c r="N158" s="1"/>
      <c r="O158" s="249"/>
    </row>
    <row r="159" spans="1:15" ht="27.75" customHeight="1">
      <c r="A159" s="303"/>
      <c r="B159" s="304"/>
      <c r="C159" s="243" t="s">
        <v>609</v>
      </c>
      <c r="D159" s="333"/>
      <c r="E159" s="118">
        <f t="shared" si="4"/>
        <v>2</v>
      </c>
      <c r="F159" s="118">
        <v>2</v>
      </c>
      <c r="G159" s="118">
        <v>1.5</v>
      </c>
      <c r="H159" s="118"/>
      <c r="I159" s="1"/>
      <c r="J159" s="1"/>
      <c r="K159" s="1"/>
      <c r="L159" s="1"/>
      <c r="M159" s="1"/>
      <c r="N159" s="1"/>
      <c r="O159" s="249"/>
    </row>
    <row r="160" spans="1:15" ht="17.25" customHeight="1">
      <c r="A160" s="303">
        <v>40</v>
      </c>
      <c r="B160" s="331"/>
      <c r="C160" s="254" t="s">
        <v>15</v>
      </c>
      <c r="D160" s="330" t="s">
        <v>218</v>
      </c>
      <c r="E160" s="118">
        <f t="shared" si="4"/>
        <v>92.1</v>
      </c>
      <c r="F160" s="118">
        <f>71.6+4.9+F161+6.3</f>
        <v>85.1</v>
      </c>
      <c r="G160" s="248">
        <f>52.9+G161+3.2</f>
        <v>57.800000000000004</v>
      </c>
      <c r="H160" s="118">
        <v>7</v>
      </c>
      <c r="I160" s="1"/>
      <c r="J160" s="1"/>
      <c r="K160" s="1"/>
      <c r="L160" s="1"/>
      <c r="M160" s="1"/>
      <c r="N160" s="1"/>
      <c r="O160" s="249"/>
    </row>
    <row r="161" spans="1:15" ht="27" customHeight="1">
      <c r="A161" s="303"/>
      <c r="B161" s="331"/>
      <c r="C161" s="243" t="s">
        <v>609</v>
      </c>
      <c r="D161" s="330"/>
      <c r="E161" s="118">
        <f t="shared" si="4"/>
        <v>2.3</v>
      </c>
      <c r="F161" s="118">
        <v>2.3</v>
      </c>
      <c r="G161" s="248">
        <v>1.7</v>
      </c>
      <c r="H161" s="118"/>
      <c r="I161" s="1"/>
      <c r="J161" s="1"/>
      <c r="K161" s="1"/>
      <c r="L161" s="1"/>
      <c r="M161" s="1"/>
      <c r="N161" s="1"/>
      <c r="O161" s="249"/>
    </row>
    <row r="162" spans="1:15" ht="16.5" customHeight="1">
      <c r="A162" s="303">
        <v>41</v>
      </c>
      <c r="B162" s="304"/>
      <c r="C162" s="254" t="s">
        <v>21</v>
      </c>
      <c r="D162" s="301" t="s">
        <v>153</v>
      </c>
      <c r="E162" s="118">
        <f t="shared" si="4"/>
        <v>130.1</v>
      </c>
      <c r="F162" s="118">
        <f>112+9.2+F163+5.6</f>
        <v>130.1</v>
      </c>
      <c r="G162" s="118">
        <f>77.3+G163+4.3</f>
        <v>84.1</v>
      </c>
      <c r="H162" s="118"/>
      <c r="I162" s="1"/>
      <c r="J162" s="1"/>
      <c r="K162" s="1"/>
      <c r="L162" s="1"/>
      <c r="M162" s="1"/>
      <c r="N162" s="1"/>
      <c r="O162" s="249"/>
    </row>
    <row r="163" spans="1:15" ht="27" customHeight="1">
      <c r="A163" s="303"/>
      <c r="B163" s="304"/>
      <c r="C163" s="243" t="s">
        <v>609</v>
      </c>
      <c r="D163" s="301"/>
      <c r="E163" s="118">
        <f t="shared" si="4"/>
        <v>3.3</v>
      </c>
      <c r="F163" s="118">
        <v>3.3</v>
      </c>
      <c r="G163" s="118">
        <v>2.5</v>
      </c>
      <c r="H163" s="118"/>
      <c r="I163" s="1"/>
      <c r="J163" s="1"/>
      <c r="K163" s="1"/>
      <c r="L163" s="1"/>
      <c r="M163" s="1"/>
      <c r="N163" s="1"/>
      <c r="O163" s="249"/>
    </row>
    <row r="164" spans="1:15" ht="18" customHeight="1">
      <c r="A164" s="303">
        <v>42</v>
      </c>
      <c r="B164" s="304"/>
      <c r="C164" s="93" t="s">
        <v>877</v>
      </c>
      <c r="D164" s="333" t="s">
        <v>25</v>
      </c>
      <c r="E164" s="118">
        <f t="shared" si="4"/>
        <v>494.6</v>
      </c>
      <c r="F164" s="118">
        <f>449.6+12.1+F165+1.6+22.2</f>
        <v>490.20000000000005</v>
      </c>
      <c r="G164" s="118">
        <f>307+9.2+G165+1.2+4</f>
        <v>325</v>
      </c>
      <c r="H164" s="118">
        <f>2+2.4</f>
        <v>4.4</v>
      </c>
      <c r="I164" s="1"/>
      <c r="J164" s="1"/>
      <c r="K164" s="1"/>
      <c r="L164" s="1"/>
      <c r="M164" s="1"/>
      <c r="N164" s="1"/>
      <c r="O164" s="249"/>
    </row>
    <row r="165" spans="1:15" ht="28.5" customHeight="1">
      <c r="A165" s="303"/>
      <c r="B165" s="304"/>
      <c r="C165" s="243" t="s">
        <v>609</v>
      </c>
      <c r="D165" s="333"/>
      <c r="E165" s="118">
        <f t="shared" si="4"/>
        <v>4.7</v>
      </c>
      <c r="F165" s="118">
        <v>4.7</v>
      </c>
      <c r="G165" s="118">
        <v>3.6</v>
      </c>
      <c r="H165" s="118"/>
      <c r="I165" s="1"/>
      <c r="J165" s="1"/>
      <c r="K165" s="1"/>
      <c r="L165" s="1"/>
      <c r="M165" s="1"/>
      <c r="N165" s="1"/>
      <c r="O165" s="249"/>
    </row>
    <row r="166" spans="1:15" ht="15.75" customHeight="1">
      <c r="A166" s="70">
        <v>43</v>
      </c>
      <c r="B166" s="10"/>
      <c r="C166" s="91" t="s">
        <v>141</v>
      </c>
      <c r="D166" s="10"/>
      <c r="E166" s="202">
        <f>+F166+H166</f>
        <v>1699.8999999999999</v>
      </c>
      <c r="F166" s="202">
        <f>+F168+F169+F170+F171+F172+F173+F174+F175+F176+F177</f>
        <v>1620.6</v>
      </c>
      <c r="G166" s="202">
        <f>+G168+G169+G170+G171+G172+G173+G174+G175+G176+G177</f>
        <v>27.1</v>
      </c>
      <c r="H166" s="202">
        <f>+H168+H169+H170+H171+H172+H173+H174+H175+H176+H177</f>
        <v>79.3</v>
      </c>
      <c r="I166" s="1"/>
      <c r="J166" s="1"/>
      <c r="K166" s="1"/>
      <c r="L166" s="1"/>
      <c r="M166" s="1"/>
      <c r="N166" s="1"/>
      <c r="O166" s="249"/>
    </row>
    <row r="167" spans="1:15" ht="12" customHeight="1">
      <c r="A167" s="70"/>
      <c r="B167" s="10"/>
      <c r="C167" s="48" t="s">
        <v>154</v>
      </c>
      <c r="D167" s="307" t="s">
        <v>538</v>
      </c>
      <c r="E167" s="118"/>
      <c r="F167" s="118"/>
      <c r="G167" s="118"/>
      <c r="H167" s="118"/>
      <c r="I167" s="1"/>
      <c r="J167" s="1"/>
      <c r="K167" s="1"/>
      <c r="L167" s="1"/>
      <c r="M167" s="1"/>
      <c r="N167" s="1"/>
      <c r="O167" s="249"/>
    </row>
    <row r="168" spans="1:14" ht="49.5" customHeight="1">
      <c r="A168" s="108" t="s">
        <v>696</v>
      </c>
      <c r="B168" s="10"/>
      <c r="C168" s="91" t="s">
        <v>3</v>
      </c>
      <c r="D168" s="308"/>
      <c r="E168" s="118">
        <f>+F168+H168</f>
        <v>596.3</v>
      </c>
      <c r="F168" s="118">
        <f>212.3+490+2-48-60</f>
        <v>596.3</v>
      </c>
      <c r="G168" s="118">
        <f>25.5+1.6</f>
        <v>27.1</v>
      </c>
      <c r="H168" s="118"/>
      <c r="I168" s="1"/>
      <c r="J168" s="1"/>
      <c r="K168" s="1"/>
      <c r="L168" s="1"/>
      <c r="M168" s="1"/>
      <c r="N168" s="249"/>
    </row>
    <row r="169" spans="1:15" ht="30" customHeight="1">
      <c r="A169" s="108" t="s">
        <v>697</v>
      </c>
      <c r="B169" s="10"/>
      <c r="C169" s="49" t="s">
        <v>557</v>
      </c>
      <c r="D169" s="258" t="s">
        <v>155</v>
      </c>
      <c r="E169" s="118">
        <f>+F169+H169</f>
        <v>40</v>
      </c>
      <c r="F169" s="118">
        <f>50-10</f>
        <v>40</v>
      </c>
      <c r="G169" s="118"/>
      <c r="H169" s="118"/>
      <c r="I169" s="1"/>
      <c r="J169" s="1"/>
      <c r="K169" s="1"/>
      <c r="L169" s="1"/>
      <c r="M169" s="1"/>
      <c r="N169" s="1"/>
      <c r="O169" s="249"/>
    </row>
    <row r="170" spans="1:14" ht="26.25" customHeight="1">
      <c r="A170" s="108" t="s">
        <v>698</v>
      </c>
      <c r="B170" s="10"/>
      <c r="C170" s="47" t="s">
        <v>558</v>
      </c>
      <c r="D170" s="258" t="s">
        <v>155</v>
      </c>
      <c r="E170" s="118">
        <f>+F170+H170</f>
        <v>31.5</v>
      </c>
      <c r="F170" s="118">
        <v>31.5</v>
      </c>
      <c r="G170" s="118"/>
      <c r="H170" s="118"/>
      <c r="I170" s="1"/>
      <c r="J170" s="1"/>
      <c r="K170" s="1"/>
      <c r="L170" s="1"/>
      <c r="M170" s="1"/>
      <c r="N170" s="249"/>
    </row>
    <row r="171" spans="1:15" ht="26.25" customHeight="1">
      <c r="A171" s="108" t="s">
        <v>699</v>
      </c>
      <c r="B171" s="10"/>
      <c r="C171" s="13" t="s">
        <v>559</v>
      </c>
      <c r="D171" s="259" t="s">
        <v>156</v>
      </c>
      <c r="E171" s="118">
        <f aca="true" t="shared" si="5" ref="E171:E197">+F171+H171</f>
        <v>45</v>
      </c>
      <c r="F171" s="118">
        <v>45</v>
      </c>
      <c r="G171" s="118"/>
      <c r="H171" s="118"/>
      <c r="I171" s="1"/>
      <c r="J171" s="1"/>
      <c r="K171" s="1"/>
      <c r="L171" s="1"/>
      <c r="M171" s="1"/>
      <c r="N171" s="1"/>
      <c r="O171" s="249"/>
    </row>
    <row r="172" spans="1:14" ht="26.25" customHeight="1">
      <c r="A172" s="108" t="s">
        <v>700</v>
      </c>
      <c r="B172" s="10"/>
      <c r="C172" s="13" t="s">
        <v>560</v>
      </c>
      <c r="D172" s="258" t="s">
        <v>156</v>
      </c>
      <c r="E172" s="118">
        <f t="shared" si="5"/>
        <v>80</v>
      </c>
      <c r="F172" s="118">
        <f>100-20</f>
        <v>80</v>
      </c>
      <c r="G172" s="118"/>
      <c r="H172" s="118"/>
      <c r="I172" s="1"/>
      <c r="J172" s="1"/>
      <c r="K172" s="1"/>
      <c r="L172" s="1"/>
      <c r="M172" s="1"/>
      <c r="N172" s="249"/>
    </row>
    <row r="173" spans="1:15" ht="29.25" customHeight="1">
      <c r="A173" s="108" t="s">
        <v>701</v>
      </c>
      <c r="B173" s="10"/>
      <c r="C173" s="13" t="s">
        <v>561</v>
      </c>
      <c r="D173" s="258" t="s">
        <v>156</v>
      </c>
      <c r="E173" s="118">
        <f t="shared" si="5"/>
        <v>30</v>
      </c>
      <c r="F173" s="118">
        <v>30</v>
      </c>
      <c r="G173" s="118"/>
      <c r="H173" s="118"/>
      <c r="I173" s="1"/>
      <c r="J173" s="1"/>
      <c r="K173" s="1"/>
      <c r="L173" s="1"/>
      <c r="M173" s="1"/>
      <c r="N173" s="1"/>
      <c r="O173" s="249"/>
    </row>
    <row r="174" spans="1:15" ht="39" customHeight="1">
      <c r="A174" s="108" t="s">
        <v>702</v>
      </c>
      <c r="B174" s="10"/>
      <c r="C174" s="13" t="s">
        <v>562</v>
      </c>
      <c r="D174" s="258" t="s">
        <v>157</v>
      </c>
      <c r="E174" s="248">
        <f t="shared" si="5"/>
        <v>620</v>
      </c>
      <c r="F174" s="248">
        <v>620</v>
      </c>
      <c r="G174" s="248"/>
      <c r="H174" s="248"/>
      <c r="I174" s="1"/>
      <c r="J174" s="1"/>
      <c r="K174" s="1"/>
      <c r="L174" s="1"/>
      <c r="M174" s="1"/>
      <c r="N174" s="1"/>
      <c r="O174" s="249"/>
    </row>
    <row r="175" spans="1:15" ht="28.5" customHeight="1">
      <c r="A175" s="108" t="s">
        <v>703</v>
      </c>
      <c r="B175" s="10"/>
      <c r="C175" s="13" t="s">
        <v>563</v>
      </c>
      <c r="D175" s="10" t="s">
        <v>158</v>
      </c>
      <c r="E175" s="248">
        <f t="shared" si="5"/>
        <v>44</v>
      </c>
      <c r="F175" s="248">
        <v>44</v>
      </c>
      <c r="G175" s="248"/>
      <c r="H175" s="248"/>
      <c r="I175" s="1"/>
      <c r="J175" s="1"/>
      <c r="K175" s="1"/>
      <c r="L175" s="1"/>
      <c r="M175" s="1"/>
      <c r="N175" s="1"/>
      <c r="O175" s="249"/>
    </row>
    <row r="176" spans="1:15" ht="28.5" customHeight="1">
      <c r="A176" s="108" t="s">
        <v>704</v>
      </c>
      <c r="B176" s="10"/>
      <c r="C176" s="13" t="s">
        <v>564</v>
      </c>
      <c r="D176" s="10" t="s">
        <v>245</v>
      </c>
      <c r="E176" s="248">
        <f t="shared" si="5"/>
        <v>13.6</v>
      </c>
      <c r="F176" s="248">
        <v>13.6</v>
      </c>
      <c r="G176" s="248"/>
      <c r="H176" s="248"/>
      <c r="I176" s="1"/>
      <c r="J176" s="1"/>
      <c r="K176" s="1"/>
      <c r="L176" s="1"/>
      <c r="M176" s="1"/>
      <c r="N176" s="1"/>
      <c r="O176" s="249"/>
    </row>
    <row r="177" spans="1:15" ht="39" customHeight="1">
      <c r="A177" s="108" t="s">
        <v>705</v>
      </c>
      <c r="B177" s="10"/>
      <c r="C177" s="94" t="s">
        <v>478</v>
      </c>
      <c r="D177" s="10"/>
      <c r="E177" s="252">
        <f t="shared" si="5"/>
        <v>199.5</v>
      </c>
      <c r="F177" s="252">
        <f>SUM(F178:F184)</f>
        <v>120.2</v>
      </c>
      <c r="G177" s="252">
        <f>SUM(G178:G184)</f>
        <v>0</v>
      </c>
      <c r="H177" s="252">
        <f>SUM(H178:H184)</f>
        <v>79.3</v>
      </c>
      <c r="I177" s="1"/>
      <c r="J177" s="1"/>
      <c r="K177" s="1"/>
      <c r="L177" s="1"/>
      <c r="M177" s="1"/>
      <c r="N177" s="1"/>
      <c r="O177" s="249"/>
    </row>
    <row r="178" spans="1:15" ht="13.5" customHeight="1">
      <c r="A178" s="108" t="s">
        <v>706</v>
      </c>
      <c r="B178" s="10"/>
      <c r="C178" s="49" t="s">
        <v>475</v>
      </c>
      <c r="D178" s="10" t="s">
        <v>316</v>
      </c>
      <c r="E178" s="248">
        <f t="shared" si="5"/>
        <v>12.5</v>
      </c>
      <c r="F178" s="248">
        <v>12.5</v>
      </c>
      <c r="G178" s="248"/>
      <c r="H178" s="248"/>
      <c r="I178" s="1"/>
      <c r="J178" s="1"/>
      <c r="K178" s="1"/>
      <c r="L178" s="1"/>
      <c r="M178" s="1"/>
      <c r="N178" s="1"/>
      <c r="O178" s="249"/>
    </row>
    <row r="179" spans="1:15" ht="15" customHeight="1">
      <c r="A179" s="108" t="s">
        <v>707</v>
      </c>
      <c r="B179" s="10"/>
      <c r="C179" s="13" t="s">
        <v>476</v>
      </c>
      <c r="D179" s="10" t="s">
        <v>316</v>
      </c>
      <c r="E179" s="248">
        <f t="shared" si="5"/>
        <v>62.6</v>
      </c>
      <c r="F179" s="248">
        <f>24.6+20+18</f>
        <v>62.6</v>
      </c>
      <c r="G179" s="248"/>
      <c r="H179" s="248"/>
      <c r="I179" s="1"/>
      <c r="J179" s="1"/>
      <c r="K179" s="1"/>
      <c r="L179" s="1"/>
      <c r="M179" s="1"/>
      <c r="N179" s="1"/>
      <c r="O179" s="249"/>
    </row>
    <row r="180" spans="1:15" ht="25.5" customHeight="1">
      <c r="A180" s="108" t="s">
        <v>708</v>
      </c>
      <c r="B180" s="10"/>
      <c r="C180" s="13" t="s">
        <v>477</v>
      </c>
      <c r="D180" s="10" t="s">
        <v>172</v>
      </c>
      <c r="E180" s="248">
        <f t="shared" si="5"/>
        <v>8.4</v>
      </c>
      <c r="F180" s="248">
        <f>15.4-7</f>
        <v>8.4</v>
      </c>
      <c r="G180" s="248"/>
      <c r="H180" s="248"/>
      <c r="I180" s="1"/>
      <c r="J180" s="1"/>
      <c r="K180" s="1"/>
      <c r="L180" s="1"/>
      <c r="M180" s="1"/>
      <c r="N180" s="1"/>
      <c r="O180" s="249"/>
    </row>
    <row r="181" spans="1:15" ht="15" customHeight="1">
      <c r="A181" s="108" t="s">
        <v>709</v>
      </c>
      <c r="B181" s="10"/>
      <c r="C181" s="13" t="s">
        <v>365</v>
      </c>
      <c r="D181" s="10" t="s">
        <v>158</v>
      </c>
      <c r="E181" s="248">
        <f t="shared" si="5"/>
        <v>30</v>
      </c>
      <c r="F181" s="248">
        <v>30</v>
      </c>
      <c r="G181" s="248"/>
      <c r="H181" s="248"/>
      <c r="I181" s="1"/>
      <c r="J181" s="1"/>
      <c r="K181" s="1"/>
      <c r="L181" s="1"/>
      <c r="M181" s="1"/>
      <c r="N181" s="1"/>
      <c r="O181" s="249"/>
    </row>
    <row r="182" spans="1:15" ht="15" customHeight="1">
      <c r="A182" s="108" t="s">
        <v>710</v>
      </c>
      <c r="B182" s="10"/>
      <c r="C182" s="94" t="s">
        <v>388</v>
      </c>
      <c r="D182" s="10" t="s">
        <v>172</v>
      </c>
      <c r="E182" s="248">
        <f t="shared" si="5"/>
        <v>80</v>
      </c>
      <c r="F182" s="248">
        <v>0.7</v>
      </c>
      <c r="G182" s="248"/>
      <c r="H182" s="248">
        <f>75-0.7+5</f>
        <v>79.3</v>
      </c>
      <c r="I182" s="1"/>
      <c r="J182" s="1"/>
      <c r="K182" s="1"/>
      <c r="L182" s="1"/>
      <c r="M182" s="1"/>
      <c r="N182" s="1"/>
      <c r="O182" s="249"/>
    </row>
    <row r="183" spans="1:15" ht="15" customHeight="1">
      <c r="A183" s="108" t="s">
        <v>923</v>
      </c>
      <c r="B183" s="10"/>
      <c r="C183" s="94" t="s">
        <v>913</v>
      </c>
      <c r="D183" s="10" t="s">
        <v>316</v>
      </c>
      <c r="E183" s="248">
        <f t="shared" si="5"/>
        <v>3</v>
      </c>
      <c r="F183" s="248">
        <v>3</v>
      </c>
      <c r="G183" s="248"/>
      <c r="H183" s="248"/>
      <c r="I183" s="1"/>
      <c r="J183" s="1"/>
      <c r="K183" s="1"/>
      <c r="L183" s="1"/>
      <c r="M183" s="1"/>
      <c r="N183" s="1"/>
      <c r="O183" s="249"/>
    </row>
    <row r="184" spans="1:15" ht="30" customHeight="1">
      <c r="A184" s="108" t="s">
        <v>924</v>
      </c>
      <c r="B184" s="10"/>
      <c r="C184" s="94" t="s">
        <v>914</v>
      </c>
      <c r="D184" s="10" t="s">
        <v>316</v>
      </c>
      <c r="E184" s="248">
        <f t="shared" si="5"/>
        <v>3</v>
      </c>
      <c r="F184" s="248">
        <v>3</v>
      </c>
      <c r="G184" s="248"/>
      <c r="H184" s="248"/>
      <c r="I184" s="1"/>
      <c r="J184" s="1"/>
      <c r="K184" s="1"/>
      <c r="L184" s="1"/>
      <c r="M184" s="1"/>
      <c r="N184" s="1"/>
      <c r="O184" s="249"/>
    </row>
    <row r="185" spans="1:15" ht="29.25" customHeight="1">
      <c r="A185" s="303">
        <v>44</v>
      </c>
      <c r="B185" s="304"/>
      <c r="C185" s="81" t="s">
        <v>8</v>
      </c>
      <c r="D185" s="330" t="s">
        <v>302</v>
      </c>
      <c r="E185" s="118">
        <f t="shared" si="5"/>
        <v>651.6000000000001</v>
      </c>
      <c r="F185" s="118">
        <f>676.6+F186-20-10.4+0.7+4</f>
        <v>651.6000000000001</v>
      </c>
      <c r="G185" s="118">
        <f>42.5+G186+0.5+3.1</f>
        <v>46.6</v>
      </c>
      <c r="H185" s="118"/>
      <c r="I185" s="1"/>
      <c r="J185" s="1"/>
      <c r="K185" s="1"/>
      <c r="L185" s="1"/>
      <c r="M185" s="1"/>
      <c r="N185" s="1"/>
      <c r="O185" s="249"/>
    </row>
    <row r="186" spans="1:15" ht="27" customHeight="1">
      <c r="A186" s="303"/>
      <c r="B186" s="304"/>
      <c r="C186" s="243" t="s">
        <v>609</v>
      </c>
      <c r="D186" s="330"/>
      <c r="E186" s="118">
        <f t="shared" si="5"/>
        <v>0.7</v>
      </c>
      <c r="F186" s="118">
        <v>0.7</v>
      </c>
      <c r="G186" s="118">
        <v>0.5</v>
      </c>
      <c r="H186" s="118"/>
      <c r="I186" s="1"/>
      <c r="J186" s="1"/>
      <c r="K186" s="1"/>
      <c r="L186" s="1"/>
      <c r="M186" s="1"/>
      <c r="N186" s="1"/>
      <c r="O186" s="249"/>
    </row>
    <row r="187" spans="1:16" ht="38.25" customHeight="1">
      <c r="A187" s="70">
        <v>45</v>
      </c>
      <c r="B187" s="10"/>
      <c r="C187" s="81" t="s">
        <v>4</v>
      </c>
      <c r="D187" s="12" t="s">
        <v>447</v>
      </c>
      <c r="E187" s="118">
        <f t="shared" si="5"/>
        <v>204.7</v>
      </c>
      <c r="F187" s="118">
        <f>205.2-0.5</f>
        <v>204.7</v>
      </c>
      <c r="G187" s="118">
        <f>26.1-0.4</f>
        <v>25.700000000000003</v>
      </c>
      <c r="H187" s="118"/>
      <c r="I187" s="1"/>
      <c r="J187" s="1"/>
      <c r="K187" s="1"/>
      <c r="L187" s="1"/>
      <c r="M187" s="1"/>
      <c r="N187" s="1"/>
      <c r="O187" s="249"/>
      <c r="P187" s="129"/>
    </row>
    <row r="188" spans="1:15" ht="39.75" customHeight="1">
      <c r="A188" s="70">
        <v>46</v>
      </c>
      <c r="B188" s="10"/>
      <c r="C188" s="81" t="s">
        <v>5</v>
      </c>
      <c r="D188" s="12" t="s">
        <v>302</v>
      </c>
      <c r="E188" s="118">
        <f t="shared" si="5"/>
        <v>96.89999999999999</v>
      </c>
      <c r="F188" s="118">
        <f>98.1-1.2</f>
        <v>96.89999999999999</v>
      </c>
      <c r="G188" s="118">
        <f>14.6-1</f>
        <v>13.6</v>
      </c>
      <c r="H188" s="118"/>
      <c r="I188" s="1"/>
      <c r="J188" s="1"/>
      <c r="K188" s="1"/>
      <c r="L188" s="1"/>
      <c r="M188" s="1"/>
      <c r="N188" s="1"/>
      <c r="O188" s="249"/>
    </row>
    <row r="189" spans="1:15" ht="39.75" customHeight="1">
      <c r="A189" s="70">
        <v>47</v>
      </c>
      <c r="B189" s="10"/>
      <c r="C189" s="81" t="s">
        <v>7</v>
      </c>
      <c r="D189" s="12" t="s">
        <v>302</v>
      </c>
      <c r="E189" s="118">
        <f t="shared" si="5"/>
        <v>64.2</v>
      </c>
      <c r="F189" s="118">
        <v>64.2</v>
      </c>
      <c r="G189" s="118">
        <f>9.3-0.7</f>
        <v>8.600000000000001</v>
      </c>
      <c r="H189" s="118"/>
      <c r="I189" s="1"/>
      <c r="J189" s="1"/>
      <c r="K189" s="1"/>
      <c r="L189" s="1"/>
      <c r="M189" s="1"/>
      <c r="N189" s="1"/>
      <c r="O189" s="249"/>
    </row>
    <row r="190" spans="1:15" ht="39.75" customHeight="1">
      <c r="A190" s="70">
        <v>48</v>
      </c>
      <c r="B190" s="10"/>
      <c r="C190" s="81" t="s">
        <v>6</v>
      </c>
      <c r="D190" s="12" t="s">
        <v>302</v>
      </c>
      <c r="E190" s="118">
        <f t="shared" si="5"/>
        <v>144.3</v>
      </c>
      <c r="F190" s="118">
        <f>145.8-1.5</f>
        <v>144.3</v>
      </c>
      <c r="G190" s="118">
        <f>17.4-1.1</f>
        <v>16.299999999999997</v>
      </c>
      <c r="H190" s="118"/>
      <c r="I190" s="1"/>
      <c r="J190" s="1"/>
      <c r="K190" s="1"/>
      <c r="L190" s="1"/>
      <c r="M190" s="1"/>
      <c r="N190" s="1"/>
      <c r="O190" s="249"/>
    </row>
    <row r="191" spans="1:15" ht="39.75" customHeight="1">
      <c r="A191" s="70">
        <v>49</v>
      </c>
      <c r="B191" s="10"/>
      <c r="C191" s="81" t="s">
        <v>9</v>
      </c>
      <c r="D191" s="12" t="s">
        <v>302</v>
      </c>
      <c r="E191" s="118">
        <f t="shared" si="5"/>
        <v>94.6</v>
      </c>
      <c r="F191" s="118">
        <f>93.4+1.6-0.4</f>
        <v>94.6</v>
      </c>
      <c r="G191" s="118">
        <f>8.7+1.2-0.3</f>
        <v>9.599999999999998</v>
      </c>
      <c r="H191" s="118"/>
      <c r="I191" s="1"/>
      <c r="J191" s="1"/>
      <c r="K191" s="1"/>
      <c r="L191" s="1"/>
      <c r="M191" s="1"/>
      <c r="N191" s="1"/>
      <c r="O191" s="249"/>
    </row>
    <row r="192" spans="1:15" ht="39.75" customHeight="1">
      <c r="A192" s="70">
        <v>50</v>
      </c>
      <c r="B192" s="10"/>
      <c r="C192" s="91" t="s">
        <v>10</v>
      </c>
      <c r="D192" s="12" t="s">
        <v>302</v>
      </c>
      <c r="E192" s="118">
        <f t="shared" si="5"/>
        <v>66.69999999999999</v>
      </c>
      <c r="F192" s="118">
        <f>66.1+0.6</f>
        <v>66.69999999999999</v>
      </c>
      <c r="G192" s="118">
        <f>7.7+0.5</f>
        <v>8.2</v>
      </c>
      <c r="H192" s="118"/>
      <c r="I192" s="1"/>
      <c r="J192" s="1"/>
      <c r="K192" s="1"/>
      <c r="L192" s="1"/>
      <c r="M192" s="1"/>
      <c r="N192" s="1"/>
      <c r="O192" s="249"/>
    </row>
    <row r="193" spans="1:15" ht="27.75" customHeight="1">
      <c r="A193" s="303">
        <v>51</v>
      </c>
      <c r="B193" s="334"/>
      <c r="C193" s="81" t="s">
        <v>12</v>
      </c>
      <c r="D193" s="330" t="s">
        <v>302</v>
      </c>
      <c r="E193" s="118">
        <f t="shared" si="5"/>
        <v>76.2</v>
      </c>
      <c r="F193" s="118">
        <f>77.7+F194+1.6-3.1</f>
        <v>76.2</v>
      </c>
      <c r="G193" s="118">
        <f>19+1.2-2.5</f>
        <v>17.7</v>
      </c>
      <c r="H193" s="118"/>
      <c r="I193" s="1"/>
      <c r="J193" s="1"/>
      <c r="K193" s="1"/>
      <c r="L193" s="1"/>
      <c r="M193" s="1"/>
      <c r="N193" s="1"/>
      <c r="O193" s="249"/>
    </row>
    <row r="194" spans="1:15" ht="25.5" customHeight="1">
      <c r="A194" s="303"/>
      <c r="B194" s="334"/>
      <c r="C194" s="243" t="s">
        <v>609</v>
      </c>
      <c r="D194" s="330"/>
      <c r="E194" s="118">
        <f t="shared" si="5"/>
        <v>0</v>
      </c>
      <c r="F194" s="118">
        <f>0.1-0.1</f>
        <v>0</v>
      </c>
      <c r="G194" s="118"/>
      <c r="H194" s="118"/>
      <c r="I194" s="1"/>
      <c r="J194" s="1"/>
      <c r="K194" s="1"/>
      <c r="L194" s="1"/>
      <c r="M194" s="1"/>
      <c r="N194" s="1"/>
      <c r="O194" s="249"/>
    </row>
    <row r="195" spans="1:15" ht="39.75" customHeight="1">
      <c r="A195" s="70">
        <v>52</v>
      </c>
      <c r="B195" s="10"/>
      <c r="C195" s="81" t="s">
        <v>11</v>
      </c>
      <c r="D195" s="12" t="s">
        <v>302</v>
      </c>
      <c r="E195" s="118">
        <f t="shared" si="5"/>
        <v>92.19999999999999</v>
      </c>
      <c r="F195" s="118">
        <f>92.6+0.5-0.9</f>
        <v>92.19999999999999</v>
      </c>
      <c r="G195" s="118">
        <f>9.6+0.4-0.7</f>
        <v>9.3</v>
      </c>
      <c r="H195" s="118"/>
      <c r="I195" s="1"/>
      <c r="J195" s="1"/>
      <c r="K195" s="1"/>
      <c r="L195" s="1"/>
      <c r="M195" s="1"/>
      <c r="N195" s="1"/>
      <c r="O195" s="249"/>
    </row>
    <row r="196" spans="1:15" ht="39.75" customHeight="1">
      <c r="A196" s="70">
        <v>53</v>
      </c>
      <c r="B196" s="10"/>
      <c r="C196" s="81" t="s">
        <v>13</v>
      </c>
      <c r="D196" s="12" t="s">
        <v>302</v>
      </c>
      <c r="E196" s="118">
        <f t="shared" si="5"/>
        <v>63.5</v>
      </c>
      <c r="F196" s="118">
        <f>61.9+0.1+1.5</f>
        <v>63.5</v>
      </c>
      <c r="G196" s="118">
        <f>9.1+0.1+1.2</f>
        <v>10.399999999999999</v>
      </c>
      <c r="H196" s="118"/>
      <c r="I196" s="1"/>
      <c r="J196" s="1"/>
      <c r="K196" s="1"/>
      <c r="L196" s="1"/>
      <c r="M196" s="1"/>
      <c r="N196" s="1"/>
      <c r="O196" s="249"/>
    </row>
    <row r="197" spans="1:15" ht="39.75" customHeight="1">
      <c r="A197" s="70">
        <v>54</v>
      </c>
      <c r="B197" s="10"/>
      <c r="C197" s="81" t="s">
        <v>14</v>
      </c>
      <c r="D197" s="12" t="s">
        <v>302</v>
      </c>
      <c r="E197" s="118">
        <f t="shared" si="5"/>
        <v>87.7</v>
      </c>
      <c r="F197" s="118">
        <f>86+1.7</f>
        <v>87.7</v>
      </c>
      <c r="G197" s="118">
        <f>13.7+1.2</f>
        <v>14.899999999999999</v>
      </c>
      <c r="H197" s="118"/>
      <c r="I197" s="1"/>
      <c r="J197" s="1"/>
      <c r="K197" s="1"/>
      <c r="L197" s="1"/>
      <c r="M197" s="1"/>
      <c r="N197" s="1"/>
      <c r="O197" s="249"/>
    </row>
    <row r="198" spans="1:15" ht="19.5" customHeight="1">
      <c r="A198" s="70">
        <v>55</v>
      </c>
      <c r="B198" s="8" t="s">
        <v>159</v>
      </c>
      <c r="C198" s="11" t="s">
        <v>160</v>
      </c>
      <c r="D198" s="10"/>
      <c r="E198" s="119">
        <f>+F198+H198</f>
        <v>591.5000000000001</v>
      </c>
      <c r="F198" s="119">
        <f>+F199+F212+F213+F214+F215+F216+F217+F218+F220+F222+F224</f>
        <v>506.5000000000001</v>
      </c>
      <c r="G198" s="119">
        <f>+G199+G212+G213+G214+G215+G216+G217+G218+G220+G222+G224</f>
        <v>34.2</v>
      </c>
      <c r="H198" s="120">
        <f>+H199+H212+H213+H214+H215+H216+H217+H218+H220+H222+H224</f>
        <v>85</v>
      </c>
      <c r="I198" s="1"/>
      <c r="J198" s="1"/>
      <c r="K198" s="1"/>
      <c r="L198" s="1"/>
      <c r="M198" s="1"/>
      <c r="N198" s="1"/>
      <c r="O198" s="249"/>
    </row>
    <row r="199" spans="1:15" ht="12" customHeight="1">
      <c r="A199" s="70">
        <v>56</v>
      </c>
      <c r="B199" s="8"/>
      <c r="C199" s="91" t="s">
        <v>141</v>
      </c>
      <c r="D199" s="10"/>
      <c r="E199" s="118">
        <f>+F199+H199</f>
        <v>575.9</v>
      </c>
      <c r="F199" s="118">
        <f>+F201+F202+F208+F209+F210</f>
        <v>490.9</v>
      </c>
      <c r="G199" s="118">
        <f>+G201+G202+G208+G209+G210</f>
        <v>22.5</v>
      </c>
      <c r="H199" s="118">
        <f>+H201+H202+H208+H209+H210</f>
        <v>85</v>
      </c>
      <c r="I199" s="1"/>
      <c r="J199" s="1"/>
      <c r="K199" s="1"/>
      <c r="L199" s="1"/>
      <c r="M199" s="1"/>
      <c r="N199" s="1"/>
      <c r="O199" s="249"/>
    </row>
    <row r="200" spans="1:15" ht="12" customHeight="1">
      <c r="A200" s="70"/>
      <c r="B200" s="8"/>
      <c r="C200" s="254" t="s">
        <v>154</v>
      </c>
      <c r="D200" s="9"/>
      <c r="E200" s="118"/>
      <c r="F200" s="118"/>
      <c r="G200" s="118"/>
      <c r="H200" s="118"/>
      <c r="I200" s="1"/>
      <c r="J200" s="1"/>
      <c r="K200" s="1"/>
      <c r="L200" s="1"/>
      <c r="M200" s="1"/>
      <c r="N200" s="1"/>
      <c r="O200" s="249"/>
    </row>
    <row r="201" spans="1:15" ht="14.25" customHeight="1">
      <c r="A201" s="108" t="s">
        <v>711</v>
      </c>
      <c r="B201" s="10"/>
      <c r="C201" s="91" t="s">
        <v>3</v>
      </c>
      <c r="D201" s="10" t="s">
        <v>406</v>
      </c>
      <c r="E201" s="118">
        <f aca="true" t="shared" si="6" ref="E201:E241">+F201+H201</f>
        <v>80.5</v>
      </c>
      <c r="F201" s="118">
        <f>79.3+1.2</f>
        <v>80.5</v>
      </c>
      <c r="G201" s="118">
        <f>21.7+0.8</f>
        <v>22.5</v>
      </c>
      <c r="H201" s="118"/>
      <c r="I201" s="1"/>
      <c r="J201" s="1"/>
      <c r="K201" s="1"/>
      <c r="L201" s="1"/>
      <c r="M201" s="1"/>
      <c r="N201" s="1"/>
      <c r="O201" s="249"/>
    </row>
    <row r="202" spans="1:15" ht="14.25" customHeight="1">
      <c r="A202" s="335" t="s">
        <v>712</v>
      </c>
      <c r="B202" s="304"/>
      <c r="C202" s="47" t="s">
        <v>565</v>
      </c>
      <c r="D202" s="304" t="s">
        <v>161</v>
      </c>
      <c r="E202" s="118">
        <f t="shared" si="6"/>
        <v>385</v>
      </c>
      <c r="F202" s="118">
        <f>SUM(F204:F207)</f>
        <v>385</v>
      </c>
      <c r="G202" s="118">
        <f>SUM(G204:G207)</f>
        <v>0</v>
      </c>
      <c r="H202" s="118">
        <f>SUM(H204:H207)</f>
        <v>0</v>
      </c>
      <c r="I202" s="1"/>
      <c r="J202" s="1"/>
      <c r="K202" s="1"/>
      <c r="L202" s="1"/>
      <c r="M202" s="1"/>
      <c r="N202" s="1"/>
      <c r="O202" s="249"/>
    </row>
    <row r="203" spans="1:15" ht="12" customHeight="1">
      <c r="A203" s="335"/>
      <c r="B203" s="304"/>
      <c r="C203" s="47" t="s">
        <v>154</v>
      </c>
      <c r="D203" s="304"/>
      <c r="E203" s="118"/>
      <c r="F203" s="118"/>
      <c r="G203" s="118"/>
      <c r="H203" s="118"/>
      <c r="I203" s="1"/>
      <c r="J203" s="1"/>
      <c r="K203" s="1"/>
      <c r="L203" s="1"/>
      <c r="M203" s="1"/>
      <c r="N203" s="1"/>
      <c r="O203" s="249"/>
    </row>
    <row r="204" spans="1:15" ht="26.25" customHeight="1">
      <c r="A204" s="335"/>
      <c r="B204" s="304"/>
      <c r="C204" s="260" t="s">
        <v>566</v>
      </c>
      <c r="D204" s="304"/>
      <c r="E204" s="118">
        <f>+F204</f>
        <v>183</v>
      </c>
      <c r="F204" s="118">
        <v>183</v>
      </c>
      <c r="G204" s="118"/>
      <c r="H204" s="118"/>
      <c r="I204" s="1"/>
      <c r="J204" s="1"/>
      <c r="K204" s="1"/>
      <c r="L204" s="1"/>
      <c r="M204" s="1"/>
      <c r="N204" s="1"/>
      <c r="O204" s="249"/>
    </row>
    <row r="205" spans="1:15" ht="13.5" customHeight="1">
      <c r="A205" s="335"/>
      <c r="B205" s="304"/>
      <c r="C205" s="260" t="s">
        <v>567</v>
      </c>
      <c r="D205" s="304"/>
      <c r="E205" s="118">
        <f>+F205</f>
        <v>100</v>
      </c>
      <c r="F205" s="118">
        <v>100</v>
      </c>
      <c r="G205" s="118"/>
      <c r="H205" s="118"/>
      <c r="I205" s="1"/>
      <c r="J205" s="1"/>
      <c r="K205" s="1"/>
      <c r="L205" s="1"/>
      <c r="M205" s="1"/>
      <c r="N205" s="1"/>
      <c r="O205" s="249"/>
    </row>
    <row r="206" spans="1:15" ht="13.5" customHeight="1">
      <c r="A206" s="335"/>
      <c r="B206" s="304"/>
      <c r="C206" s="260" t="s">
        <v>568</v>
      </c>
      <c r="D206" s="304"/>
      <c r="E206" s="118">
        <f>+F206</f>
        <v>12</v>
      </c>
      <c r="F206" s="118">
        <v>12</v>
      </c>
      <c r="G206" s="118"/>
      <c r="H206" s="118"/>
      <c r="I206" s="1"/>
      <c r="J206" s="1"/>
      <c r="K206" s="1"/>
      <c r="L206" s="1"/>
      <c r="M206" s="1"/>
      <c r="N206" s="1"/>
      <c r="O206" s="249"/>
    </row>
    <row r="207" spans="1:15" ht="26.25" customHeight="1">
      <c r="A207" s="335"/>
      <c r="B207" s="304"/>
      <c r="C207" s="260" t="s">
        <v>569</v>
      </c>
      <c r="D207" s="304"/>
      <c r="E207" s="118">
        <f>+F207</f>
        <v>90</v>
      </c>
      <c r="F207" s="118">
        <v>90</v>
      </c>
      <c r="G207" s="118"/>
      <c r="H207" s="118"/>
      <c r="I207" s="1"/>
      <c r="J207" s="1"/>
      <c r="K207" s="1"/>
      <c r="L207" s="1"/>
      <c r="M207" s="1"/>
      <c r="N207" s="1"/>
      <c r="O207" s="249"/>
    </row>
    <row r="208" spans="1:15" ht="24" customHeight="1">
      <c r="A208" s="108" t="s">
        <v>713</v>
      </c>
      <c r="B208" s="10"/>
      <c r="C208" s="47" t="s">
        <v>570</v>
      </c>
      <c r="D208" s="10" t="s">
        <v>161</v>
      </c>
      <c r="E208" s="118">
        <f t="shared" si="6"/>
        <v>19</v>
      </c>
      <c r="F208" s="118">
        <v>19</v>
      </c>
      <c r="G208" s="118"/>
      <c r="H208" s="118"/>
      <c r="I208" s="1"/>
      <c r="J208" s="1"/>
      <c r="K208" s="1"/>
      <c r="L208" s="1"/>
      <c r="M208" s="1"/>
      <c r="N208" s="1"/>
      <c r="O208" s="249"/>
    </row>
    <row r="209" spans="1:15" ht="27" customHeight="1">
      <c r="A209" s="108" t="s">
        <v>714</v>
      </c>
      <c r="B209" s="10"/>
      <c r="C209" s="47" t="s">
        <v>887</v>
      </c>
      <c r="D209" s="10" t="s">
        <v>161</v>
      </c>
      <c r="E209" s="118">
        <f t="shared" si="6"/>
        <v>1.4</v>
      </c>
      <c r="F209" s="118">
        <v>1.4</v>
      </c>
      <c r="G209" s="118"/>
      <c r="H209" s="118"/>
      <c r="I209" s="1"/>
      <c r="J209" s="1"/>
      <c r="K209" s="1"/>
      <c r="L209" s="1"/>
      <c r="M209" s="1"/>
      <c r="N209" s="1"/>
      <c r="O209" s="249"/>
    </row>
    <row r="210" spans="1:15" ht="42" customHeight="1">
      <c r="A210" s="70" t="s">
        <v>908</v>
      </c>
      <c r="B210" s="10"/>
      <c r="C210" s="94" t="s">
        <v>478</v>
      </c>
      <c r="D210" s="10"/>
      <c r="E210" s="118">
        <f t="shared" si="6"/>
        <v>90</v>
      </c>
      <c r="F210" s="118">
        <f>+F211</f>
        <v>5</v>
      </c>
      <c r="G210" s="118">
        <f>+G211</f>
        <v>0</v>
      </c>
      <c r="H210" s="118">
        <f>+H211</f>
        <v>85</v>
      </c>
      <c r="I210" s="1"/>
      <c r="J210" s="1"/>
      <c r="K210" s="1"/>
      <c r="L210" s="1"/>
      <c r="M210" s="1"/>
      <c r="N210" s="1"/>
      <c r="O210" s="249"/>
    </row>
    <row r="211" spans="1:15" ht="43.5" customHeight="1">
      <c r="A211" s="70" t="s">
        <v>909</v>
      </c>
      <c r="B211" s="10"/>
      <c r="C211" s="81" t="s">
        <v>884</v>
      </c>
      <c r="D211" s="10" t="s">
        <v>885</v>
      </c>
      <c r="E211" s="118">
        <f t="shared" si="6"/>
        <v>90</v>
      </c>
      <c r="F211" s="118">
        <f>40-35</f>
        <v>5</v>
      </c>
      <c r="G211" s="118"/>
      <c r="H211" s="118">
        <f>50+35</f>
        <v>85</v>
      </c>
      <c r="I211" s="1"/>
      <c r="J211" s="1"/>
      <c r="K211" s="1"/>
      <c r="L211" s="1"/>
      <c r="M211" s="1"/>
      <c r="N211" s="1"/>
      <c r="O211" s="249"/>
    </row>
    <row r="212" spans="1:15" ht="27" customHeight="1">
      <c r="A212" s="70">
        <v>57</v>
      </c>
      <c r="B212" s="10"/>
      <c r="C212" s="81" t="s">
        <v>4</v>
      </c>
      <c r="D212" s="10" t="s">
        <v>161</v>
      </c>
      <c r="E212" s="118">
        <f t="shared" si="6"/>
        <v>1.6</v>
      </c>
      <c r="F212" s="118">
        <f>1.3+0.3</f>
        <v>1.6</v>
      </c>
      <c r="G212" s="118">
        <f>1+0.2</f>
        <v>1.2</v>
      </c>
      <c r="H212" s="118"/>
      <c r="I212" s="1"/>
      <c r="J212" s="1"/>
      <c r="K212" s="1"/>
      <c r="L212" s="1"/>
      <c r="M212" s="1"/>
      <c r="N212" s="1"/>
      <c r="O212" s="249"/>
    </row>
    <row r="213" spans="1:15" ht="27" customHeight="1">
      <c r="A213" s="70">
        <v>58</v>
      </c>
      <c r="B213" s="10"/>
      <c r="C213" s="81" t="s">
        <v>5</v>
      </c>
      <c r="D213" s="10" t="s">
        <v>161</v>
      </c>
      <c r="E213" s="118">
        <f t="shared" si="6"/>
        <v>1.5999999999999999</v>
      </c>
      <c r="F213" s="118">
        <f>1.4+0.2</f>
        <v>1.5999999999999999</v>
      </c>
      <c r="G213" s="118">
        <f>1.1+0.1</f>
        <v>1.2000000000000002</v>
      </c>
      <c r="H213" s="118"/>
      <c r="I213" s="1"/>
      <c r="J213" s="1"/>
      <c r="K213" s="1"/>
      <c r="L213" s="1"/>
      <c r="M213" s="1"/>
      <c r="N213" s="1"/>
      <c r="O213" s="249"/>
    </row>
    <row r="214" spans="1:15" ht="27" customHeight="1">
      <c r="A214" s="70">
        <v>59</v>
      </c>
      <c r="B214" s="10"/>
      <c r="C214" s="91" t="s">
        <v>7</v>
      </c>
      <c r="D214" s="10" t="s">
        <v>161</v>
      </c>
      <c r="E214" s="118">
        <f t="shared" si="6"/>
        <v>1.6</v>
      </c>
      <c r="F214" s="118">
        <v>1.6</v>
      </c>
      <c r="G214" s="118">
        <v>1.2</v>
      </c>
      <c r="H214" s="118"/>
      <c r="I214" s="1"/>
      <c r="J214" s="1"/>
      <c r="K214" s="1"/>
      <c r="L214" s="1"/>
      <c r="M214" s="1"/>
      <c r="N214" s="1"/>
      <c r="O214" s="249"/>
    </row>
    <row r="215" spans="1:15" ht="26.25" customHeight="1">
      <c r="A215" s="70">
        <v>60</v>
      </c>
      <c r="B215" s="10"/>
      <c r="C215" s="81" t="s">
        <v>6</v>
      </c>
      <c r="D215" s="10" t="s">
        <v>161</v>
      </c>
      <c r="E215" s="118">
        <f t="shared" si="6"/>
        <v>1.7000000000000002</v>
      </c>
      <c r="F215" s="118">
        <f>1.6+0.1</f>
        <v>1.7000000000000002</v>
      </c>
      <c r="G215" s="118">
        <f>1.2+0.1</f>
        <v>1.3</v>
      </c>
      <c r="H215" s="118"/>
      <c r="I215" s="1"/>
      <c r="J215" s="1"/>
      <c r="K215" s="1"/>
      <c r="L215" s="1"/>
      <c r="M215" s="1"/>
      <c r="N215" s="1"/>
      <c r="O215" s="249"/>
    </row>
    <row r="216" spans="1:15" ht="27.75" customHeight="1">
      <c r="A216" s="70">
        <v>61</v>
      </c>
      <c r="B216" s="10"/>
      <c r="C216" s="81" t="s">
        <v>9</v>
      </c>
      <c r="D216" s="10" t="s">
        <v>161</v>
      </c>
      <c r="E216" s="118">
        <f t="shared" si="6"/>
        <v>1.6</v>
      </c>
      <c r="F216" s="118">
        <f>1.3+0.3</f>
        <v>1.6</v>
      </c>
      <c r="G216" s="118">
        <f>1+0.2</f>
        <v>1.2</v>
      </c>
      <c r="H216" s="118"/>
      <c r="I216" s="1"/>
      <c r="J216" s="1"/>
      <c r="K216" s="1"/>
      <c r="L216" s="1"/>
      <c r="M216" s="1"/>
      <c r="N216" s="1"/>
      <c r="O216" s="249"/>
    </row>
    <row r="217" spans="1:15" ht="26.25" customHeight="1">
      <c r="A217" s="70">
        <v>62</v>
      </c>
      <c r="B217" s="10"/>
      <c r="C217" s="91" t="s">
        <v>10</v>
      </c>
      <c r="D217" s="10" t="s">
        <v>161</v>
      </c>
      <c r="E217" s="118">
        <f t="shared" si="6"/>
        <v>1.5999999999999999</v>
      </c>
      <c r="F217" s="118">
        <f>1.4+0.2</f>
        <v>1.5999999999999999</v>
      </c>
      <c r="G217" s="118">
        <f>1.1+0.1</f>
        <v>1.2000000000000002</v>
      </c>
      <c r="H217" s="118"/>
      <c r="I217" s="1"/>
      <c r="J217" s="1"/>
      <c r="K217" s="1"/>
      <c r="L217" s="1"/>
      <c r="M217" s="1"/>
      <c r="N217" s="1"/>
      <c r="O217" s="249"/>
    </row>
    <row r="218" spans="1:15" ht="27" customHeight="1">
      <c r="A218" s="303">
        <v>63</v>
      </c>
      <c r="B218" s="304"/>
      <c r="C218" s="81" t="s">
        <v>12</v>
      </c>
      <c r="D218" s="304" t="s">
        <v>161</v>
      </c>
      <c r="E218" s="118">
        <f t="shared" si="6"/>
        <v>1.7</v>
      </c>
      <c r="F218" s="118">
        <f>1.7+F219</f>
        <v>1.7</v>
      </c>
      <c r="G218" s="118">
        <f>1.3+G219</f>
        <v>1.3</v>
      </c>
      <c r="H218" s="118"/>
      <c r="I218" s="1"/>
      <c r="J218" s="1"/>
      <c r="K218" s="1"/>
      <c r="L218" s="1"/>
      <c r="M218" s="1"/>
      <c r="N218" s="1"/>
      <c r="O218" s="249"/>
    </row>
    <row r="219" spans="1:15" ht="25.5" customHeight="1">
      <c r="A219" s="303"/>
      <c r="B219" s="304"/>
      <c r="C219" s="243" t="s">
        <v>609</v>
      </c>
      <c r="D219" s="304"/>
      <c r="E219" s="118">
        <f t="shared" si="6"/>
        <v>0</v>
      </c>
      <c r="F219" s="118">
        <f>0.1-0.1</f>
        <v>0</v>
      </c>
      <c r="G219" s="118">
        <f>0.1-0.1</f>
        <v>0</v>
      </c>
      <c r="H219" s="118"/>
      <c r="I219" s="1"/>
      <c r="J219" s="1"/>
      <c r="K219" s="1"/>
      <c r="L219" s="1"/>
      <c r="M219" s="1"/>
      <c r="N219" s="1"/>
      <c r="O219" s="249"/>
    </row>
    <row r="220" spans="1:15" ht="29.25" customHeight="1">
      <c r="A220" s="303">
        <v>64</v>
      </c>
      <c r="B220" s="304"/>
      <c r="C220" s="81" t="s">
        <v>320</v>
      </c>
      <c r="D220" s="304" t="s">
        <v>161</v>
      </c>
      <c r="E220" s="118">
        <f t="shared" si="6"/>
        <v>1.1</v>
      </c>
      <c r="F220" s="118">
        <f>1.5+F221-0.6</f>
        <v>1.1</v>
      </c>
      <c r="G220" s="118">
        <f>1.1+G221-0.4</f>
        <v>0.8000000000000002</v>
      </c>
      <c r="H220" s="118"/>
      <c r="I220" s="1"/>
      <c r="J220" s="1"/>
      <c r="K220" s="1"/>
      <c r="L220" s="1"/>
      <c r="M220" s="1"/>
      <c r="N220" s="1"/>
      <c r="O220" s="249"/>
    </row>
    <row r="221" spans="1:15" ht="29.25" customHeight="1">
      <c r="A221" s="303"/>
      <c r="B221" s="304"/>
      <c r="C221" s="243" t="s">
        <v>609</v>
      </c>
      <c r="D221" s="304"/>
      <c r="E221" s="118">
        <f t="shared" si="6"/>
        <v>0.2</v>
      </c>
      <c r="F221" s="118">
        <v>0.2</v>
      </c>
      <c r="G221" s="118">
        <v>0.1</v>
      </c>
      <c r="H221" s="118"/>
      <c r="I221" s="1"/>
      <c r="J221" s="1"/>
      <c r="K221" s="1"/>
      <c r="L221" s="1"/>
      <c r="M221" s="1"/>
      <c r="N221" s="1"/>
      <c r="O221" s="249"/>
    </row>
    <row r="222" spans="1:15" ht="34.5" customHeight="1">
      <c r="A222" s="303">
        <v>65</v>
      </c>
      <c r="B222" s="304"/>
      <c r="C222" s="81" t="s">
        <v>13</v>
      </c>
      <c r="D222" s="304" t="s">
        <v>161</v>
      </c>
      <c r="E222" s="118">
        <f t="shared" si="6"/>
        <v>1.5999999999999999</v>
      </c>
      <c r="F222" s="118">
        <f>1.4+F223</f>
        <v>1.5999999999999999</v>
      </c>
      <c r="G222" s="118">
        <f>1.1+G223</f>
        <v>1.2000000000000002</v>
      </c>
      <c r="H222" s="118"/>
      <c r="I222" s="1"/>
      <c r="J222" s="1"/>
      <c r="K222" s="1"/>
      <c r="L222" s="1"/>
      <c r="M222" s="1"/>
      <c r="N222" s="1"/>
      <c r="O222" s="249"/>
    </row>
    <row r="223" spans="1:15" ht="29.25" customHeight="1">
      <c r="A223" s="303"/>
      <c r="B223" s="304"/>
      <c r="C223" s="243" t="s">
        <v>609</v>
      </c>
      <c r="D223" s="304"/>
      <c r="E223" s="118">
        <f t="shared" si="6"/>
        <v>0.2</v>
      </c>
      <c r="F223" s="118">
        <v>0.2</v>
      </c>
      <c r="G223" s="118">
        <v>0.1</v>
      </c>
      <c r="H223" s="118"/>
      <c r="I223" s="1"/>
      <c r="J223" s="1"/>
      <c r="K223" s="1"/>
      <c r="L223" s="1"/>
      <c r="M223" s="1"/>
      <c r="N223" s="1"/>
      <c r="O223" s="249"/>
    </row>
    <row r="224" spans="1:15" ht="29.25" customHeight="1">
      <c r="A224" s="70">
        <v>66</v>
      </c>
      <c r="B224" s="10"/>
      <c r="C224" s="81" t="s">
        <v>14</v>
      </c>
      <c r="D224" s="10" t="s">
        <v>161</v>
      </c>
      <c r="E224" s="118">
        <f t="shared" si="6"/>
        <v>1.5</v>
      </c>
      <c r="F224" s="118">
        <f>1.3+0.2</f>
        <v>1.5</v>
      </c>
      <c r="G224" s="118">
        <f>1+0.1</f>
        <v>1.1</v>
      </c>
      <c r="H224" s="118"/>
      <c r="I224" s="1"/>
      <c r="J224" s="1"/>
      <c r="K224" s="1"/>
      <c r="L224" s="1"/>
      <c r="M224" s="1"/>
      <c r="N224" s="1"/>
      <c r="O224" s="249"/>
    </row>
    <row r="225" spans="1:15" ht="24.75" customHeight="1">
      <c r="A225" s="70">
        <v>67</v>
      </c>
      <c r="B225" s="8" t="s">
        <v>162</v>
      </c>
      <c r="C225" s="11" t="s">
        <v>163</v>
      </c>
      <c r="D225" s="9"/>
      <c r="E225" s="136">
        <f t="shared" si="6"/>
        <v>2495.5</v>
      </c>
      <c r="F225" s="136">
        <f>+F226+F228+F230+F232+F234+F236+F238+F240+F242+F253</f>
        <v>2219.7</v>
      </c>
      <c r="G225" s="136">
        <f>+G226+G228+G230+G232+G234+G236+G238+G240+G242+G253</f>
        <v>1246.1999999999998</v>
      </c>
      <c r="H225" s="136">
        <f>+H226+H228+H230+H232+H234+H236+H238+H240+H242+H253</f>
        <v>275.79999999999995</v>
      </c>
      <c r="I225" s="1"/>
      <c r="J225" s="1"/>
      <c r="K225" s="1"/>
      <c r="L225" s="1"/>
      <c r="M225" s="1"/>
      <c r="N225" s="1"/>
      <c r="O225" s="249"/>
    </row>
    <row r="226" spans="1:15" ht="15" customHeight="1">
      <c r="A226" s="303">
        <v>68</v>
      </c>
      <c r="B226" s="304"/>
      <c r="C226" s="93" t="s">
        <v>111</v>
      </c>
      <c r="D226" s="304" t="s">
        <v>164</v>
      </c>
      <c r="E226" s="118">
        <f t="shared" si="6"/>
        <v>493.8</v>
      </c>
      <c r="F226" s="118">
        <f>463.5+F227+2.4+2.3+23.5</f>
        <v>493.8</v>
      </c>
      <c r="G226" s="118">
        <f>280.8+G227+23.5</f>
        <v>305.90000000000003</v>
      </c>
      <c r="H226" s="118"/>
      <c r="I226" s="1"/>
      <c r="J226" s="1"/>
      <c r="K226" s="1"/>
      <c r="L226" s="1"/>
      <c r="M226" s="1"/>
      <c r="N226" s="1"/>
      <c r="O226" s="249"/>
    </row>
    <row r="227" spans="1:15" ht="30" customHeight="1">
      <c r="A227" s="303"/>
      <c r="B227" s="304"/>
      <c r="C227" s="243" t="s">
        <v>609</v>
      </c>
      <c r="D227" s="304"/>
      <c r="E227" s="118">
        <f t="shared" si="6"/>
        <v>2.1</v>
      </c>
      <c r="F227" s="118">
        <v>2.1</v>
      </c>
      <c r="G227" s="118">
        <v>1.6</v>
      </c>
      <c r="H227" s="118"/>
      <c r="I227" s="1"/>
      <c r="J227" s="1"/>
      <c r="K227" s="1"/>
      <c r="L227" s="1"/>
      <c r="M227" s="1"/>
      <c r="N227" s="1"/>
      <c r="O227" s="249"/>
    </row>
    <row r="228" spans="1:15" ht="15" customHeight="1">
      <c r="A228" s="303">
        <v>69</v>
      </c>
      <c r="B228" s="304"/>
      <c r="C228" s="41" t="s">
        <v>119</v>
      </c>
      <c r="D228" s="304" t="s">
        <v>164</v>
      </c>
      <c r="E228" s="118">
        <f t="shared" si="6"/>
        <v>150.8</v>
      </c>
      <c r="F228" s="118">
        <f>135.1+F229+3.9+1.6+1+7.9</f>
        <v>150.8</v>
      </c>
      <c r="G228" s="118">
        <f>89.2+G229+4.5</f>
        <v>94.7</v>
      </c>
      <c r="H228" s="118"/>
      <c r="I228" s="1"/>
      <c r="J228" s="1"/>
      <c r="K228" s="1"/>
      <c r="L228" s="1"/>
      <c r="M228" s="1"/>
      <c r="N228" s="1"/>
      <c r="O228" s="249"/>
    </row>
    <row r="229" spans="1:15" ht="31.5" customHeight="1">
      <c r="A229" s="303"/>
      <c r="B229" s="304"/>
      <c r="C229" s="243" t="s">
        <v>609</v>
      </c>
      <c r="D229" s="304"/>
      <c r="E229" s="118">
        <f t="shared" si="6"/>
        <v>1.3</v>
      </c>
      <c r="F229" s="118">
        <v>1.3</v>
      </c>
      <c r="G229" s="118">
        <v>1</v>
      </c>
      <c r="H229" s="118"/>
      <c r="I229" s="1"/>
      <c r="J229" s="1"/>
      <c r="K229" s="1"/>
      <c r="L229" s="1"/>
      <c r="M229" s="1"/>
      <c r="N229" s="1"/>
      <c r="O229" s="249"/>
    </row>
    <row r="230" spans="1:15" ht="15" customHeight="1">
      <c r="A230" s="303">
        <v>70</v>
      </c>
      <c r="B230" s="304"/>
      <c r="C230" s="41" t="s">
        <v>120</v>
      </c>
      <c r="D230" s="304" t="s">
        <v>164</v>
      </c>
      <c r="E230" s="118">
        <f t="shared" si="6"/>
        <v>106.60000000000001</v>
      </c>
      <c r="F230" s="118">
        <f>96.2+F231+1.4+2.1+6</f>
        <v>106.60000000000001</v>
      </c>
      <c r="G230" s="118">
        <f>58+G231+1.1+4.2</f>
        <v>64</v>
      </c>
      <c r="H230" s="118"/>
      <c r="I230" s="1"/>
      <c r="J230" s="1"/>
      <c r="K230" s="1"/>
      <c r="L230" s="1"/>
      <c r="M230" s="1"/>
      <c r="N230" s="1"/>
      <c r="O230" s="249"/>
    </row>
    <row r="231" spans="1:15" ht="29.25" customHeight="1">
      <c r="A231" s="303"/>
      <c r="B231" s="304"/>
      <c r="C231" s="243" t="s">
        <v>609</v>
      </c>
      <c r="D231" s="304"/>
      <c r="E231" s="118">
        <f t="shared" si="6"/>
        <v>0.9</v>
      </c>
      <c r="F231" s="118">
        <v>0.9</v>
      </c>
      <c r="G231" s="118">
        <v>0.7</v>
      </c>
      <c r="H231" s="118"/>
      <c r="I231" s="1"/>
      <c r="J231" s="1"/>
      <c r="K231" s="1"/>
      <c r="L231" s="1"/>
      <c r="M231" s="1"/>
      <c r="N231" s="1"/>
      <c r="O231" s="249"/>
    </row>
    <row r="232" spans="1:15" ht="18.75" customHeight="1">
      <c r="A232" s="303">
        <v>71</v>
      </c>
      <c r="B232" s="304"/>
      <c r="C232" s="41" t="s">
        <v>112</v>
      </c>
      <c r="D232" s="304" t="s">
        <v>164</v>
      </c>
      <c r="E232" s="118">
        <f t="shared" si="6"/>
        <v>95.9</v>
      </c>
      <c r="F232" s="118">
        <f>86.7+F233+3.2+0.9+2.7</f>
        <v>94.80000000000001</v>
      </c>
      <c r="G232" s="118">
        <f>58.6+G233</f>
        <v>59.6</v>
      </c>
      <c r="H232" s="118">
        <v>1.1</v>
      </c>
      <c r="I232" s="1"/>
      <c r="J232" s="1"/>
      <c r="K232" s="1"/>
      <c r="L232" s="1"/>
      <c r="M232" s="1"/>
      <c r="N232" s="1"/>
      <c r="O232" s="249"/>
    </row>
    <row r="233" spans="1:15" ht="29.25" customHeight="1">
      <c r="A233" s="303"/>
      <c r="B233" s="304"/>
      <c r="C233" s="243" t="s">
        <v>609</v>
      </c>
      <c r="D233" s="304"/>
      <c r="E233" s="118">
        <f t="shared" si="6"/>
        <v>1.3</v>
      </c>
      <c r="F233" s="118">
        <v>1.3</v>
      </c>
      <c r="G233" s="118">
        <v>1</v>
      </c>
      <c r="H233" s="118"/>
      <c r="I233" s="1"/>
      <c r="J233" s="1"/>
      <c r="K233" s="1"/>
      <c r="L233" s="1"/>
      <c r="M233" s="1"/>
      <c r="N233" s="1"/>
      <c r="O233" s="249"/>
    </row>
    <row r="234" spans="1:15" ht="17.25" customHeight="1">
      <c r="A234" s="303">
        <v>72</v>
      </c>
      <c r="B234" s="304"/>
      <c r="C234" s="41" t="s">
        <v>121</v>
      </c>
      <c r="D234" s="304" t="s">
        <v>164</v>
      </c>
      <c r="E234" s="118">
        <f t="shared" si="6"/>
        <v>63.199999999999996</v>
      </c>
      <c r="F234" s="118">
        <f>59.1+F235+0.9-0.7+2.3</f>
        <v>62.49999999999999</v>
      </c>
      <c r="G234" s="118">
        <f>42.1+G235-1.7</f>
        <v>41.1</v>
      </c>
      <c r="H234" s="118">
        <v>0.7</v>
      </c>
      <c r="I234" s="1"/>
      <c r="J234" s="1"/>
      <c r="K234" s="1"/>
      <c r="L234" s="1"/>
      <c r="M234" s="1"/>
      <c r="N234" s="1"/>
      <c r="O234" s="249"/>
    </row>
    <row r="235" spans="1:15" ht="30.75" customHeight="1">
      <c r="A235" s="303"/>
      <c r="B235" s="304"/>
      <c r="C235" s="243" t="s">
        <v>609</v>
      </c>
      <c r="D235" s="304"/>
      <c r="E235" s="118">
        <f t="shared" si="6"/>
        <v>0.9</v>
      </c>
      <c r="F235" s="118">
        <v>0.9</v>
      </c>
      <c r="G235" s="118">
        <v>0.7</v>
      </c>
      <c r="H235" s="118"/>
      <c r="I235" s="1"/>
      <c r="J235" s="1"/>
      <c r="K235" s="1"/>
      <c r="L235" s="1"/>
      <c r="M235" s="1"/>
      <c r="N235" s="1"/>
      <c r="O235" s="249"/>
    </row>
    <row r="236" spans="1:15" ht="18" customHeight="1">
      <c r="A236" s="303">
        <v>73</v>
      </c>
      <c r="B236" s="304"/>
      <c r="C236" s="41" t="s">
        <v>122</v>
      </c>
      <c r="D236" s="304" t="s">
        <v>164</v>
      </c>
      <c r="E236" s="118">
        <f t="shared" si="6"/>
        <v>57.9</v>
      </c>
      <c r="F236" s="118">
        <f>54.5+F237+0.4+2.3</f>
        <v>57.9</v>
      </c>
      <c r="G236" s="118">
        <f>37.9+G237+1.6</f>
        <v>40</v>
      </c>
      <c r="H236" s="118"/>
      <c r="I236" s="1"/>
      <c r="J236" s="1"/>
      <c r="K236" s="1"/>
      <c r="L236" s="1"/>
      <c r="M236" s="1"/>
      <c r="N236" s="1"/>
      <c r="O236" s="249"/>
    </row>
    <row r="237" spans="1:15" ht="32.25" customHeight="1">
      <c r="A237" s="303"/>
      <c r="B237" s="304"/>
      <c r="C237" s="243" t="s">
        <v>609</v>
      </c>
      <c r="D237" s="304"/>
      <c r="E237" s="118">
        <f t="shared" si="6"/>
        <v>0.7</v>
      </c>
      <c r="F237" s="118">
        <v>0.7</v>
      </c>
      <c r="G237" s="118">
        <v>0.5</v>
      </c>
      <c r="H237" s="118"/>
      <c r="I237" s="1"/>
      <c r="J237" s="1"/>
      <c r="K237" s="1"/>
      <c r="L237" s="1"/>
      <c r="M237" s="1"/>
      <c r="N237" s="1"/>
      <c r="O237" s="249"/>
    </row>
    <row r="238" spans="1:15" ht="26.25" customHeight="1">
      <c r="A238" s="303">
        <v>74</v>
      </c>
      <c r="B238" s="304"/>
      <c r="C238" s="81" t="s">
        <v>123</v>
      </c>
      <c r="D238" s="304" t="s">
        <v>165</v>
      </c>
      <c r="E238" s="118">
        <f t="shared" si="6"/>
        <v>631.4000000000001</v>
      </c>
      <c r="F238" s="118">
        <f>594.8+F239+1.7+5.6+27.9</f>
        <v>630.7</v>
      </c>
      <c r="G238" s="118">
        <f>389.5+G239+1.3+16.9</f>
        <v>408.2</v>
      </c>
      <c r="H238" s="118">
        <v>0.7</v>
      </c>
      <c r="I238" s="1"/>
      <c r="J238" s="1"/>
      <c r="K238" s="1"/>
      <c r="L238" s="1"/>
      <c r="M238" s="1"/>
      <c r="N238" s="1"/>
      <c r="O238" s="249"/>
    </row>
    <row r="239" spans="1:15" ht="26.25" customHeight="1">
      <c r="A239" s="303"/>
      <c r="B239" s="304"/>
      <c r="C239" s="243" t="s">
        <v>609</v>
      </c>
      <c r="D239" s="304"/>
      <c r="E239" s="118">
        <f t="shared" si="6"/>
        <v>0.7</v>
      </c>
      <c r="F239" s="118">
        <v>0.7</v>
      </c>
      <c r="G239" s="118">
        <v>0.5</v>
      </c>
      <c r="H239" s="118"/>
      <c r="I239" s="1"/>
      <c r="J239" s="1"/>
      <c r="K239" s="1"/>
      <c r="L239" s="1"/>
      <c r="M239" s="1"/>
      <c r="N239" s="1"/>
      <c r="O239" s="249"/>
    </row>
    <row r="240" spans="1:15" ht="17.25" customHeight="1">
      <c r="A240" s="303">
        <v>75</v>
      </c>
      <c r="B240" s="304"/>
      <c r="C240" s="41" t="s">
        <v>110</v>
      </c>
      <c r="D240" s="304" t="s">
        <v>166</v>
      </c>
      <c r="E240" s="118">
        <f t="shared" si="6"/>
        <v>318.49999999999994</v>
      </c>
      <c r="F240" s="118">
        <f>301.7-10+F241+16.4</f>
        <v>308.49999999999994</v>
      </c>
      <c r="G240" s="118">
        <f>187.9+G241+8.1</f>
        <v>196.3</v>
      </c>
      <c r="H240" s="118">
        <v>10</v>
      </c>
      <c r="I240" s="1"/>
      <c r="J240" s="1"/>
      <c r="K240" s="1"/>
      <c r="L240" s="1"/>
      <c r="M240" s="1"/>
      <c r="N240" s="1"/>
      <c r="O240" s="249"/>
    </row>
    <row r="241" spans="1:15" ht="31.5" customHeight="1">
      <c r="A241" s="303"/>
      <c r="B241" s="304"/>
      <c r="C241" s="243" t="s">
        <v>609</v>
      </c>
      <c r="D241" s="304"/>
      <c r="E241" s="118">
        <f t="shared" si="6"/>
        <v>0.4</v>
      </c>
      <c r="F241" s="118">
        <v>0.4</v>
      </c>
      <c r="G241" s="118">
        <v>0.3</v>
      </c>
      <c r="H241" s="118"/>
      <c r="I241" s="1"/>
      <c r="J241" s="1"/>
      <c r="K241" s="1"/>
      <c r="L241" s="1"/>
      <c r="M241" s="1"/>
      <c r="N241" s="1"/>
      <c r="O241" s="249"/>
    </row>
    <row r="242" spans="1:15" ht="12" customHeight="1">
      <c r="A242" s="70">
        <v>76</v>
      </c>
      <c r="B242" s="10"/>
      <c r="C242" s="91" t="s">
        <v>141</v>
      </c>
      <c r="D242" s="10"/>
      <c r="E242" s="118">
        <f>+F242+H242</f>
        <v>572</v>
      </c>
      <c r="F242" s="118">
        <f>+F244+F245+F246+F247</f>
        <v>308.7</v>
      </c>
      <c r="G242" s="118">
        <f>+G244+G245+G246+G247</f>
        <v>32.3</v>
      </c>
      <c r="H242" s="118">
        <f>+H244+H245+H246+H247</f>
        <v>263.29999999999995</v>
      </c>
      <c r="I242" s="1"/>
      <c r="J242" s="1"/>
      <c r="K242" s="1"/>
      <c r="L242" s="1"/>
      <c r="M242" s="1"/>
      <c r="N242" s="1"/>
      <c r="O242" s="249"/>
    </row>
    <row r="243" spans="1:15" ht="12" customHeight="1">
      <c r="A243" s="70"/>
      <c r="B243" s="10"/>
      <c r="C243" s="254" t="s">
        <v>154</v>
      </c>
      <c r="D243" s="10"/>
      <c r="E243" s="118"/>
      <c r="F243" s="118"/>
      <c r="G243" s="118"/>
      <c r="H243" s="118"/>
      <c r="I243" s="1"/>
      <c r="J243" s="1"/>
      <c r="K243" s="1"/>
      <c r="L243" s="1"/>
      <c r="M243" s="1"/>
      <c r="N243" s="1"/>
      <c r="O243" s="249"/>
    </row>
    <row r="244" spans="1:15" ht="26.25" customHeight="1">
      <c r="A244" s="108" t="s">
        <v>715</v>
      </c>
      <c r="B244" s="10"/>
      <c r="C244" s="91" t="s">
        <v>3</v>
      </c>
      <c r="D244" s="12" t="s">
        <v>539</v>
      </c>
      <c r="E244" s="118">
        <f>+F244+H244</f>
        <v>252</v>
      </c>
      <c r="F244" s="118">
        <f>236.5+6+7.4+2.1</f>
        <v>252</v>
      </c>
      <c r="G244" s="118">
        <f>30.7+1.6</f>
        <v>32.3</v>
      </c>
      <c r="H244" s="118"/>
      <c r="I244" s="1"/>
      <c r="J244" s="1"/>
      <c r="K244" s="1"/>
      <c r="L244" s="1"/>
      <c r="M244" s="1"/>
      <c r="N244" s="1"/>
      <c r="O244" s="249"/>
    </row>
    <row r="245" spans="1:15" ht="24.75" customHeight="1">
      <c r="A245" s="108" t="s">
        <v>716</v>
      </c>
      <c r="B245" s="10"/>
      <c r="C245" s="13" t="s">
        <v>582</v>
      </c>
      <c r="D245" s="12" t="s">
        <v>167</v>
      </c>
      <c r="E245" s="118">
        <f>+F245+H245</f>
        <v>11</v>
      </c>
      <c r="F245" s="118">
        <v>11</v>
      </c>
      <c r="G245" s="118"/>
      <c r="H245" s="118"/>
      <c r="I245" s="1"/>
      <c r="J245" s="1"/>
      <c r="K245" s="1"/>
      <c r="L245" s="1"/>
      <c r="M245" s="1"/>
      <c r="N245" s="1"/>
      <c r="O245" s="249"/>
    </row>
    <row r="246" spans="1:15" ht="24.75" customHeight="1">
      <c r="A246" s="108" t="s">
        <v>717</v>
      </c>
      <c r="B246" s="10"/>
      <c r="C246" s="13" t="s">
        <v>583</v>
      </c>
      <c r="D246" s="12" t="s">
        <v>167</v>
      </c>
      <c r="E246" s="118">
        <f>+F246+H246</f>
        <v>15</v>
      </c>
      <c r="F246" s="118">
        <v>15</v>
      </c>
      <c r="G246" s="118"/>
      <c r="H246" s="118"/>
      <c r="I246" s="1"/>
      <c r="J246" s="1"/>
      <c r="K246" s="1"/>
      <c r="L246" s="1"/>
      <c r="M246" s="1"/>
      <c r="N246" s="1"/>
      <c r="O246" s="249"/>
    </row>
    <row r="247" spans="1:15" ht="39" customHeight="1">
      <c r="A247" s="108" t="s">
        <v>718</v>
      </c>
      <c r="B247" s="10"/>
      <c r="C247" s="94" t="s">
        <v>478</v>
      </c>
      <c r="D247" s="12"/>
      <c r="E247" s="118">
        <f>+F247+H247</f>
        <v>293.99999999999994</v>
      </c>
      <c r="F247" s="118">
        <f>SUM(F248:F252)</f>
        <v>30.7</v>
      </c>
      <c r="G247" s="118">
        <f>SUM(G248:G252)</f>
        <v>0</v>
      </c>
      <c r="H247" s="118">
        <f>SUM(H248:H252)</f>
        <v>263.29999999999995</v>
      </c>
      <c r="I247" s="1"/>
      <c r="J247" s="1"/>
      <c r="K247" s="1"/>
      <c r="L247" s="1"/>
      <c r="M247" s="1"/>
      <c r="N247" s="1"/>
      <c r="O247" s="249"/>
    </row>
    <row r="248" spans="1:15" ht="30.75" customHeight="1">
      <c r="A248" s="108" t="s">
        <v>719</v>
      </c>
      <c r="B248" s="10"/>
      <c r="C248" s="13" t="s">
        <v>479</v>
      </c>
      <c r="D248" s="12" t="s">
        <v>391</v>
      </c>
      <c r="E248" s="118">
        <f>+F248</f>
        <v>9.999999999999996</v>
      </c>
      <c r="F248" s="118">
        <f>33.8-23.8</f>
        <v>9.999999999999996</v>
      </c>
      <c r="G248" s="118"/>
      <c r="H248" s="118"/>
      <c r="I248" s="1"/>
      <c r="J248" s="1"/>
      <c r="K248" s="1"/>
      <c r="L248" s="1"/>
      <c r="M248" s="1"/>
      <c r="N248" s="1"/>
      <c r="O248" s="249"/>
    </row>
    <row r="249" spans="1:15" ht="27.75" customHeight="1">
      <c r="A249" s="108" t="s">
        <v>720</v>
      </c>
      <c r="B249" s="10"/>
      <c r="C249" s="91" t="s">
        <v>581</v>
      </c>
      <c r="D249" s="12" t="s">
        <v>164</v>
      </c>
      <c r="E249" s="118">
        <f aca="true" t="shared" si="7" ref="E249:E254">+F249+H249</f>
        <v>8</v>
      </c>
      <c r="F249" s="118">
        <f>2.1-2.1</f>
        <v>0</v>
      </c>
      <c r="G249" s="118"/>
      <c r="H249" s="118">
        <f>8-2.1+2.1</f>
        <v>8</v>
      </c>
      <c r="I249" s="1"/>
      <c r="J249" s="1"/>
      <c r="K249" s="1"/>
      <c r="L249" s="1"/>
      <c r="M249" s="1"/>
      <c r="N249" s="1"/>
      <c r="O249" s="249"/>
    </row>
    <row r="250" spans="1:15" ht="28.5" customHeight="1">
      <c r="A250" s="108" t="s">
        <v>721</v>
      </c>
      <c r="B250" s="10"/>
      <c r="C250" s="91" t="s">
        <v>480</v>
      </c>
      <c r="D250" s="10" t="s">
        <v>164</v>
      </c>
      <c r="E250" s="118">
        <f t="shared" si="7"/>
        <v>18</v>
      </c>
      <c r="F250" s="118">
        <v>18</v>
      </c>
      <c r="G250" s="118"/>
      <c r="H250" s="118"/>
      <c r="I250" s="1"/>
      <c r="J250" s="1"/>
      <c r="K250" s="1"/>
      <c r="L250" s="1"/>
      <c r="M250" s="1"/>
      <c r="N250" s="1"/>
      <c r="O250" s="249"/>
    </row>
    <row r="251" spans="1:17" ht="55.5" customHeight="1">
      <c r="A251" s="108" t="s">
        <v>722</v>
      </c>
      <c r="B251" s="10"/>
      <c r="C251" s="91" t="s">
        <v>915</v>
      </c>
      <c r="D251" s="12" t="s">
        <v>392</v>
      </c>
      <c r="E251" s="118">
        <f t="shared" si="7"/>
        <v>250</v>
      </c>
      <c r="F251" s="118">
        <f>0.4+0.2</f>
        <v>0.6000000000000001</v>
      </c>
      <c r="G251" s="118"/>
      <c r="H251" s="118">
        <f>250-0.4-0.2</f>
        <v>249.4</v>
      </c>
      <c r="I251" s="1"/>
      <c r="J251" s="1"/>
      <c r="K251" s="1"/>
      <c r="L251" s="1"/>
      <c r="M251" s="1"/>
      <c r="N251" s="1"/>
      <c r="O251" s="249"/>
      <c r="P251" s="1"/>
      <c r="Q251" s="261"/>
    </row>
    <row r="252" spans="1:17" ht="27" customHeight="1">
      <c r="A252" s="108" t="s">
        <v>723</v>
      </c>
      <c r="B252" s="10"/>
      <c r="C252" s="91" t="s">
        <v>481</v>
      </c>
      <c r="D252" s="10" t="s">
        <v>540</v>
      </c>
      <c r="E252" s="118">
        <f t="shared" si="7"/>
        <v>8</v>
      </c>
      <c r="F252" s="118">
        <f>1.1+1</f>
        <v>2.1</v>
      </c>
      <c r="G252" s="118"/>
      <c r="H252" s="118">
        <f>6.9-1</f>
        <v>5.9</v>
      </c>
      <c r="I252" s="1"/>
      <c r="J252" s="1"/>
      <c r="K252" s="1"/>
      <c r="L252" s="1"/>
      <c r="M252" s="1"/>
      <c r="N252" s="1"/>
      <c r="O252" s="249"/>
      <c r="P252" s="1"/>
      <c r="Q252" s="261"/>
    </row>
    <row r="253" spans="1:15" ht="27.75" customHeight="1">
      <c r="A253" s="70">
        <v>77</v>
      </c>
      <c r="B253" s="10"/>
      <c r="C253" s="81" t="s">
        <v>6</v>
      </c>
      <c r="D253" s="10" t="s">
        <v>166</v>
      </c>
      <c r="E253" s="118">
        <f t="shared" si="7"/>
        <v>5.3999999999999995</v>
      </c>
      <c r="F253" s="118">
        <f>5.3+0.1</f>
        <v>5.3999999999999995</v>
      </c>
      <c r="G253" s="118">
        <f>4+0.1</f>
        <v>4.1</v>
      </c>
      <c r="H253" s="118"/>
      <c r="I253" s="1"/>
      <c r="J253" s="1"/>
      <c r="K253" s="1"/>
      <c r="L253" s="1"/>
      <c r="M253" s="1"/>
      <c r="N253" s="1"/>
      <c r="O253" s="249"/>
    </row>
    <row r="254" spans="1:15" ht="30" customHeight="1">
      <c r="A254" s="70">
        <v>78</v>
      </c>
      <c r="B254" s="8" t="s">
        <v>242</v>
      </c>
      <c r="C254" s="97" t="s">
        <v>243</v>
      </c>
      <c r="D254" s="10"/>
      <c r="E254" s="119">
        <f t="shared" si="7"/>
        <v>436.5</v>
      </c>
      <c r="F254" s="119">
        <f>+F255</f>
        <v>220.1</v>
      </c>
      <c r="G254" s="119">
        <f>+G255</f>
        <v>0</v>
      </c>
      <c r="H254" s="119">
        <f>+H255</f>
        <v>216.39999999999998</v>
      </c>
      <c r="I254" s="1"/>
      <c r="J254" s="1"/>
      <c r="K254" s="1"/>
      <c r="L254" s="1"/>
      <c r="M254" s="1"/>
      <c r="N254" s="1"/>
      <c r="O254" s="249"/>
    </row>
    <row r="255" spans="1:15" ht="12" customHeight="1">
      <c r="A255" s="70">
        <v>79</v>
      </c>
      <c r="B255" s="10"/>
      <c r="C255" s="91" t="s">
        <v>141</v>
      </c>
      <c r="D255" s="10"/>
      <c r="E255" s="118">
        <f>+F255+H255</f>
        <v>436.5</v>
      </c>
      <c r="F255" s="118">
        <f>+F257+F258+F259+F260</f>
        <v>220.1</v>
      </c>
      <c r="G255" s="118">
        <f>+G257+G258+G259+G260</f>
        <v>0</v>
      </c>
      <c r="H255" s="118">
        <f>+H257+H258+H259+H260</f>
        <v>216.39999999999998</v>
      </c>
      <c r="I255" s="1"/>
      <c r="J255" s="1"/>
      <c r="K255" s="1"/>
      <c r="L255" s="1"/>
      <c r="M255" s="1"/>
      <c r="N255" s="1"/>
      <c r="O255" s="249"/>
    </row>
    <row r="256" spans="1:15" ht="12" customHeight="1">
      <c r="A256" s="70"/>
      <c r="B256" s="10"/>
      <c r="C256" s="48" t="s">
        <v>142</v>
      </c>
      <c r="D256" s="10"/>
      <c r="E256" s="118"/>
      <c r="F256" s="118"/>
      <c r="G256" s="118"/>
      <c r="H256" s="118"/>
      <c r="I256" s="1"/>
      <c r="J256" s="1"/>
      <c r="K256" s="1"/>
      <c r="L256" s="1"/>
      <c r="M256" s="1"/>
      <c r="N256" s="1"/>
      <c r="O256" s="249"/>
    </row>
    <row r="257" spans="1:15" ht="12" customHeight="1">
      <c r="A257" s="70" t="s">
        <v>724</v>
      </c>
      <c r="B257" s="10"/>
      <c r="C257" s="48" t="s">
        <v>882</v>
      </c>
      <c r="D257" s="10" t="s">
        <v>317</v>
      </c>
      <c r="E257" s="118">
        <f aca="true" t="shared" si="8" ref="E257:E262">+F257+H257</f>
        <v>0</v>
      </c>
      <c r="F257" s="118">
        <f>0.8-0.8</f>
        <v>0</v>
      </c>
      <c r="G257" s="118"/>
      <c r="H257" s="118"/>
      <c r="I257" s="1"/>
      <c r="J257" s="1"/>
      <c r="K257" s="1"/>
      <c r="L257" s="1"/>
      <c r="M257" s="1"/>
      <c r="N257" s="1"/>
      <c r="O257" s="249"/>
    </row>
    <row r="258" spans="1:15" ht="33" customHeight="1">
      <c r="A258" s="108" t="s">
        <v>725</v>
      </c>
      <c r="B258" s="10"/>
      <c r="C258" s="13" t="s">
        <v>571</v>
      </c>
      <c r="D258" s="10" t="s">
        <v>244</v>
      </c>
      <c r="E258" s="118">
        <f t="shared" si="8"/>
        <v>44.4</v>
      </c>
      <c r="F258" s="118">
        <v>44.4</v>
      </c>
      <c r="G258" s="118"/>
      <c r="H258" s="118"/>
      <c r="I258" s="1"/>
      <c r="J258" s="1"/>
      <c r="K258" s="1"/>
      <c r="L258" s="1"/>
      <c r="M258" s="1"/>
      <c r="N258" s="1"/>
      <c r="O258" s="249"/>
    </row>
    <row r="259" spans="1:15" ht="33" customHeight="1">
      <c r="A259" s="108" t="s">
        <v>726</v>
      </c>
      <c r="B259" s="10"/>
      <c r="C259" s="13" t="s">
        <v>517</v>
      </c>
      <c r="D259" s="10" t="s">
        <v>541</v>
      </c>
      <c r="E259" s="118">
        <f t="shared" si="8"/>
        <v>40</v>
      </c>
      <c r="F259" s="118">
        <v>40</v>
      </c>
      <c r="G259" s="118"/>
      <c r="H259" s="118"/>
      <c r="I259" s="1"/>
      <c r="J259" s="1"/>
      <c r="K259" s="1"/>
      <c r="L259" s="1"/>
      <c r="M259" s="1"/>
      <c r="N259" s="1"/>
      <c r="O259" s="249"/>
    </row>
    <row r="260" spans="1:15" ht="40.5" customHeight="1">
      <c r="A260" s="108" t="s">
        <v>889</v>
      </c>
      <c r="B260" s="10"/>
      <c r="C260" s="94" t="s">
        <v>478</v>
      </c>
      <c r="D260" s="10"/>
      <c r="E260" s="118">
        <f t="shared" si="8"/>
        <v>352.09999999999997</v>
      </c>
      <c r="F260" s="118">
        <f>SUM(F261:F278)</f>
        <v>135.7</v>
      </c>
      <c r="G260" s="118">
        <f>SUM(G261:G278)</f>
        <v>0</v>
      </c>
      <c r="H260" s="118">
        <f>SUM(H261:H278)</f>
        <v>216.39999999999998</v>
      </c>
      <c r="I260" s="1"/>
      <c r="J260" s="1"/>
      <c r="K260" s="1"/>
      <c r="L260" s="1"/>
      <c r="M260" s="1"/>
      <c r="N260" s="1"/>
      <c r="O260" s="249"/>
    </row>
    <row r="261" spans="1:15" ht="40.5" customHeight="1">
      <c r="A261" s="108" t="s">
        <v>890</v>
      </c>
      <c r="B261" s="10"/>
      <c r="C261" s="94" t="s">
        <v>482</v>
      </c>
      <c r="D261" s="10" t="s">
        <v>542</v>
      </c>
      <c r="E261" s="118">
        <f t="shared" si="8"/>
        <v>2</v>
      </c>
      <c r="F261" s="118">
        <f>3-1</f>
        <v>2</v>
      </c>
      <c r="G261" s="118"/>
      <c r="H261" s="118">
        <f>3-3</f>
        <v>0</v>
      </c>
      <c r="I261" s="1"/>
      <c r="J261" s="1"/>
      <c r="K261" s="1"/>
      <c r="L261" s="1"/>
      <c r="M261" s="1"/>
      <c r="N261" s="1"/>
      <c r="O261" s="249"/>
    </row>
    <row r="262" spans="1:15" ht="30" customHeight="1">
      <c r="A262" s="108" t="s">
        <v>891</v>
      </c>
      <c r="B262" s="10"/>
      <c r="C262" s="140" t="s">
        <v>366</v>
      </c>
      <c r="D262" s="10" t="s">
        <v>317</v>
      </c>
      <c r="E262" s="118">
        <f t="shared" si="8"/>
        <v>61.7</v>
      </c>
      <c r="F262" s="118">
        <f>40+20+1.7-49.6</f>
        <v>12.100000000000001</v>
      </c>
      <c r="G262" s="118"/>
      <c r="H262" s="118">
        <v>49.6</v>
      </c>
      <c r="I262" s="1"/>
      <c r="J262" s="1"/>
      <c r="K262" s="1"/>
      <c r="L262" s="1"/>
      <c r="M262" s="1"/>
      <c r="N262" s="1"/>
      <c r="O262" s="249"/>
    </row>
    <row r="263" spans="1:15" ht="39" customHeight="1">
      <c r="A263" s="108" t="s">
        <v>892</v>
      </c>
      <c r="B263" s="10"/>
      <c r="C263" s="49" t="s">
        <v>483</v>
      </c>
      <c r="D263" s="12" t="s">
        <v>543</v>
      </c>
      <c r="E263" s="118">
        <f aca="true" t="shared" si="9" ref="E263:E278">+F263+H263</f>
        <v>16.1</v>
      </c>
      <c r="F263" s="118">
        <v>16.1</v>
      </c>
      <c r="G263" s="118"/>
      <c r="H263" s="118"/>
      <c r="I263" s="1"/>
      <c r="J263" s="1"/>
      <c r="K263" s="1"/>
      <c r="L263" s="192"/>
      <c r="M263" s="192"/>
      <c r="N263" s="192"/>
      <c r="O263" s="249"/>
    </row>
    <row r="264" spans="1:15" ht="27.75" customHeight="1">
      <c r="A264" s="108" t="s">
        <v>893</v>
      </c>
      <c r="B264" s="10"/>
      <c r="C264" s="262" t="s">
        <v>551</v>
      </c>
      <c r="D264" s="10" t="s">
        <v>164</v>
      </c>
      <c r="E264" s="118">
        <f t="shared" si="9"/>
        <v>30</v>
      </c>
      <c r="F264" s="118">
        <v>30</v>
      </c>
      <c r="G264" s="118"/>
      <c r="H264" s="118"/>
      <c r="I264" s="1"/>
      <c r="J264" s="1"/>
      <c r="K264" s="1"/>
      <c r="L264" s="1"/>
      <c r="M264" s="1"/>
      <c r="N264" s="1"/>
      <c r="O264" s="249"/>
    </row>
    <row r="265" spans="1:15" ht="30" customHeight="1">
      <c r="A265" s="108" t="s">
        <v>894</v>
      </c>
      <c r="B265" s="10"/>
      <c r="C265" s="13" t="s">
        <v>946</v>
      </c>
      <c r="D265" s="10" t="s">
        <v>164</v>
      </c>
      <c r="E265" s="118">
        <f t="shared" si="9"/>
        <v>20</v>
      </c>
      <c r="F265" s="118">
        <v>20</v>
      </c>
      <c r="G265" s="118"/>
      <c r="H265" s="118"/>
      <c r="I265" s="1"/>
      <c r="J265" s="1"/>
      <c r="K265" s="1"/>
      <c r="L265" s="1"/>
      <c r="M265" s="1"/>
      <c r="N265" s="1"/>
      <c r="O265" s="249"/>
    </row>
    <row r="266" spans="1:15" ht="30.75" customHeight="1">
      <c r="A266" s="108" t="s">
        <v>895</v>
      </c>
      <c r="B266" s="10"/>
      <c r="C266" s="140" t="s">
        <v>484</v>
      </c>
      <c r="D266" s="10" t="s">
        <v>317</v>
      </c>
      <c r="E266" s="118">
        <f t="shared" si="9"/>
        <v>10</v>
      </c>
      <c r="F266" s="118">
        <v>10</v>
      </c>
      <c r="G266" s="118"/>
      <c r="H266" s="118"/>
      <c r="I266" s="1"/>
      <c r="J266" s="1"/>
      <c r="K266" s="1"/>
      <c r="L266" s="1"/>
      <c r="M266" s="1"/>
      <c r="N266" s="1"/>
      <c r="O266" s="249"/>
    </row>
    <row r="267" spans="1:15" ht="40.5" customHeight="1">
      <c r="A267" s="108" t="s">
        <v>896</v>
      </c>
      <c r="B267" s="10"/>
      <c r="C267" s="49" t="s">
        <v>367</v>
      </c>
      <c r="D267" s="10" t="s">
        <v>386</v>
      </c>
      <c r="E267" s="118">
        <f t="shared" si="9"/>
        <v>6.6</v>
      </c>
      <c r="F267" s="118">
        <f>3+3.6</f>
        <v>6.6</v>
      </c>
      <c r="G267" s="118"/>
      <c r="H267" s="118"/>
      <c r="I267" s="1"/>
      <c r="J267" s="1"/>
      <c r="K267" s="1"/>
      <c r="L267" s="1"/>
      <c r="M267" s="1"/>
      <c r="N267" s="1"/>
      <c r="O267" s="249"/>
    </row>
    <row r="268" spans="1:15" ht="27.75" customHeight="1">
      <c r="A268" s="108" t="s">
        <v>897</v>
      </c>
      <c r="B268" s="10"/>
      <c r="C268" s="49" t="s">
        <v>591</v>
      </c>
      <c r="D268" s="12" t="s">
        <v>192</v>
      </c>
      <c r="E268" s="118">
        <f t="shared" si="9"/>
        <v>20</v>
      </c>
      <c r="F268" s="118"/>
      <c r="G268" s="118"/>
      <c r="H268" s="118">
        <v>20</v>
      </c>
      <c r="I268" s="1"/>
      <c r="J268" s="1"/>
      <c r="K268" s="1"/>
      <c r="L268" s="1"/>
      <c r="M268" s="1"/>
      <c r="N268" s="1"/>
      <c r="O268" s="249"/>
    </row>
    <row r="269" spans="1:15" ht="14.25" customHeight="1">
      <c r="A269" s="108" t="s">
        <v>898</v>
      </c>
      <c r="B269" s="10"/>
      <c r="C269" s="140" t="s">
        <v>485</v>
      </c>
      <c r="D269" s="10" t="s">
        <v>386</v>
      </c>
      <c r="E269" s="118">
        <f t="shared" si="9"/>
        <v>9.2</v>
      </c>
      <c r="F269" s="118">
        <v>9.2</v>
      </c>
      <c r="G269" s="118"/>
      <c r="H269" s="118"/>
      <c r="I269" s="1"/>
      <c r="J269" s="1"/>
      <c r="K269" s="1"/>
      <c r="L269" s="1"/>
      <c r="M269" s="1"/>
      <c r="N269" s="1"/>
      <c r="O269" s="249"/>
    </row>
    <row r="270" spans="1:15" ht="51" customHeight="1">
      <c r="A270" s="108" t="s">
        <v>899</v>
      </c>
      <c r="B270" s="10"/>
      <c r="C270" s="140" t="s">
        <v>486</v>
      </c>
      <c r="D270" s="10" t="s">
        <v>317</v>
      </c>
      <c r="E270" s="118">
        <f t="shared" si="9"/>
        <v>3</v>
      </c>
      <c r="F270" s="118">
        <f>2+1</f>
        <v>3</v>
      </c>
      <c r="G270" s="118"/>
      <c r="H270" s="118"/>
      <c r="I270" s="1"/>
      <c r="J270" s="1"/>
      <c r="K270" s="1"/>
      <c r="L270" s="1"/>
      <c r="M270" s="1"/>
      <c r="N270" s="1"/>
      <c r="O270" s="249"/>
    </row>
    <row r="271" spans="1:15" ht="25.5" customHeight="1">
      <c r="A271" s="108" t="s">
        <v>900</v>
      </c>
      <c r="B271" s="10"/>
      <c r="C271" s="140" t="s">
        <v>487</v>
      </c>
      <c r="D271" s="10" t="s">
        <v>317</v>
      </c>
      <c r="E271" s="118">
        <f t="shared" si="9"/>
        <v>8</v>
      </c>
      <c r="F271" s="118">
        <f>5+3</f>
        <v>8</v>
      </c>
      <c r="G271" s="118"/>
      <c r="H271" s="118"/>
      <c r="I271" s="1"/>
      <c r="J271" s="1"/>
      <c r="K271" s="1"/>
      <c r="L271" s="1"/>
      <c r="M271" s="1"/>
      <c r="N271" s="1"/>
      <c r="O271" s="249"/>
    </row>
    <row r="272" spans="1:15" ht="24.75" customHeight="1">
      <c r="A272" s="108" t="s">
        <v>901</v>
      </c>
      <c r="B272" s="10"/>
      <c r="C272" s="140" t="s">
        <v>488</v>
      </c>
      <c r="D272" s="10" t="s">
        <v>317</v>
      </c>
      <c r="E272" s="118">
        <f t="shared" si="9"/>
        <v>5</v>
      </c>
      <c r="F272" s="118">
        <v>5</v>
      </c>
      <c r="G272" s="118"/>
      <c r="H272" s="118"/>
      <c r="I272" s="1"/>
      <c r="J272" s="1"/>
      <c r="K272" s="1"/>
      <c r="L272" s="1"/>
      <c r="M272" s="1"/>
      <c r="N272" s="1"/>
      <c r="O272" s="249"/>
    </row>
    <row r="273" spans="1:15" ht="13.5" customHeight="1">
      <c r="A273" s="108" t="s">
        <v>902</v>
      </c>
      <c r="B273" s="10"/>
      <c r="C273" s="140" t="s">
        <v>409</v>
      </c>
      <c r="D273" s="10" t="s">
        <v>319</v>
      </c>
      <c r="E273" s="118">
        <f t="shared" si="9"/>
        <v>55</v>
      </c>
      <c r="F273" s="118">
        <f>0.6+0.1</f>
        <v>0.7</v>
      </c>
      <c r="G273" s="118"/>
      <c r="H273" s="118">
        <f>36+19-0.6-0.1</f>
        <v>54.3</v>
      </c>
      <c r="I273" s="1"/>
      <c r="J273" s="1"/>
      <c r="K273" s="1"/>
      <c r="L273" s="1"/>
      <c r="M273" s="1"/>
      <c r="N273" s="1"/>
      <c r="O273" s="249"/>
    </row>
    <row r="274" spans="1:15" ht="40.5" customHeight="1">
      <c r="A274" s="108" t="s">
        <v>903</v>
      </c>
      <c r="B274" s="10"/>
      <c r="C274" s="49" t="s">
        <v>489</v>
      </c>
      <c r="D274" s="10" t="s">
        <v>545</v>
      </c>
      <c r="E274" s="118">
        <f t="shared" si="9"/>
        <v>10</v>
      </c>
      <c r="F274" s="118">
        <v>0.2</v>
      </c>
      <c r="G274" s="118"/>
      <c r="H274" s="118">
        <v>9.8</v>
      </c>
      <c r="I274" s="1"/>
      <c r="J274" s="1"/>
      <c r="K274" s="1"/>
      <c r="L274" s="1"/>
      <c r="M274" s="1"/>
      <c r="N274" s="1"/>
      <c r="O274" s="249"/>
    </row>
    <row r="275" spans="1:15" ht="27.75" customHeight="1">
      <c r="A275" s="108" t="s">
        <v>904</v>
      </c>
      <c r="B275" s="10"/>
      <c r="C275" s="49" t="s">
        <v>490</v>
      </c>
      <c r="D275" s="10" t="s">
        <v>545</v>
      </c>
      <c r="E275" s="118">
        <f t="shared" si="9"/>
        <v>60</v>
      </c>
      <c r="F275" s="118">
        <v>0.5</v>
      </c>
      <c r="G275" s="118"/>
      <c r="H275" s="118">
        <f>49.5+10</f>
        <v>59.5</v>
      </c>
      <c r="I275" s="1"/>
      <c r="J275" s="1"/>
      <c r="K275" s="1"/>
      <c r="L275" s="1"/>
      <c r="M275" s="1"/>
      <c r="N275" s="1"/>
      <c r="O275" s="249"/>
    </row>
    <row r="276" spans="1:15" ht="28.5" customHeight="1">
      <c r="A276" s="108" t="s">
        <v>905</v>
      </c>
      <c r="B276" s="10"/>
      <c r="C276" s="49" t="s">
        <v>491</v>
      </c>
      <c r="D276" s="10" t="s">
        <v>546</v>
      </c>
      <c r="E276" s="118">
        <f t="shared" si="9"/>
        <v>23.5</v>
      </c>
      <c r="F276" s="118">
        <v>0.3</v>
      </c>
      <c r="G276" s="118"/>
      <c r="H276" s="118">
        <v>23.2</v>
      </c>
      <c r="I276" s="1"/>
      <c r="J276" s="1"/>
      <c r="K276" s="1"/>
      <c r="L276" s="1"/>
      <c r="M276" s="1"/>
      <c r="N276" s="1"/>
      <c r="O276" s="249"/>
    </row>
    <row r="277" spans="1:15" ht="29.25" customHeight="1">
      <c r="A277" s="108" t="s">
        <v>906</v>
      </c>
      <c r="B277" s="10"/>
      <c r="C277" s="49" t="s">
        <v>492</v>
      </c>
      <c r="D277" s="10" t="s">
        <v>545</v>
      </c>
      <c r="E277" s="118">
        <f t="shared" si="9"/>
        <v>2</v>
      </c>
      <c r="F277" s="118">
        <v>2</v>
      </c>
      <c r="G277" s="118"/>
      <c r="H277" s="118"/>
      <c r="I277" s="1"/>
      <c r="J277" s="1"/>
      <c r="K277" s="1"/>
      <c r="L277" s="1"/>
      <c r="M277" s="1"/>
      <c r="N277" s="1"/>
      <c r="O277" s="249"/>
    </row>
    <row r="278" spans="1:15" ht="28.5" customHeight="1">
      <c r="A278" s="108" t="s">
        <v>907</v>
      </c>
      <c r="B278" s="10"/>
      <c r="C278" s="49" t="s">
        <v>493</v>
      </c>
      <c r="D278" s="10" t="s">
        <v>544</v>
      </c>
      <c r="E278" s="118">
        <f t="shared" si="9"/>
        <v>10</v>
      </c>
      <c r="F278" s="118">
        <v>10</v>
      </c>
      <c r="G278" s="118"/>
      <c r="H278" s="118"/>
      <c r="I278" s="1"/>
      <c r="J278" s="1"/>
      <c r="K278" s="1"/>
      <c r="L278" s="1"/>
      <c r="M278" s="1"/>
      <c r="N278" s="1"/>
      <c r="O278" s="249"/>
    </row>
    <row r="279" spans="1:15" ht="27" customHeight="1">
      <c r="A279" s="70">
        <v>80</v>
      </c>
      <c r="B279" s="8" t="s">
        <v>168</v>
      </c>
      <c r="C279" s="114" t="s">
        <v>169</v>
      </c>
      <c r="D279" s="9"/>
      <c r="E279" s="121">
        <f>+F279+H279</f>
        <v>2048.7</v>
      </c>
      <c r="F279" s="121">
        <f>+F321+F322+F324+F323+F320+F325+F326+F328+F327+F329+F330+F280</f>
        <v>710.7</v>
      </c>
      <c r="G279" s="121">
        <f>+G321+G322+G324+G323+G320+G325+G326+G328+G327+G329+G330+G280</f>
        <v>0</v>
      </c>
      <c r="H279" s="121">
        <f>+H321+H322+H324+H323+H320+H325+H326+H328+H327+H329+H330+H280</f>
        <v>1338</v>
      </c>
      <c r="I279" s="1"/>
      <c r="J279" s="1"/>
      <c r="K279" s="1"/>
      <c r="L279" s="1"/>
      <c r="M279" s="1"/>
      <c r="N279" s="1"/>
      <c r="O279" s="249"/>
    </row>
    <row r="280" spans="1:15" ht="12" customHeight="1">
      <c r="A280" s="70">
        <v>81</v>
      </c>
      <c r="B280" s="10"/>
      <c r="C280" s="91" t="s">
        <v>141</v>
      </c>
      <c r="D280" s="12"/>
      <c r="E280" s="118">
        <f>+F280+H280</f>
        <v>1765.1</v>
      </c>
      <c r="F280" s="118">
        <f>F282+F318+F317+F319</f>
        <v>427.1</v>
      </c>
      <c r="G280" s="118">
        <f>G282+G318+G317+G319</f>
        <v>0</v>
      </c>
      <c r="H280" s="118">
        <f>H282+H318+H317+H319</f>
        <v>1338</v>
      </c>
      <c r="I280" s="1"/>
      <c r="J280" s="1"/>
      <c r="K280" s="1"/>
      <c r="L280" s="1"/>
      <c r="M280" s="1"/>
      <c r="N280" s="1"/>
      <c r="O280" s="249"/>
    </row>
    <row r="281" spans="1:15" ht="13.5" customHeight="1">
      <c r="A281" s="70"/>
      <c r="B281" s="10"/>
      <c r="C281" s="52" t="s">
        <v>142</v>
      </c>
      <c r="D281" s="12"/>
      <c r="E281" s="118"/>
      <c r="F281" s="118"/>
      <c r="G281" s="118"/>
      <c r="H281" s="118"/>
      <c r="I281" s="1"/>
      <c r="J281" s="1"/>
      <c r="K281" s="1"/>
      <c r="L281" s="1"/>
      <c r="M281" s="1"/>
      <c r="N281" s="1"/>
      <c r="O281" s="249"/>
    </row>
    <row r="282" spans="1:15" ht="39" customHeight="1">
      <c r="A282" s="108" t="s">
        <v>727</v>
      </c>
      <c r="B282" s="10"/>
      <c r="C282" s="94" t="s">
        <v>478</v>
      </c>
      <c r="D282" s="12"/>
      <c r="E282" s="118">
        <f>+F282+H282</f>
        <v>1688</v>
      </c>
      <c r="F282" s="118">
        <f>SUM(F283:F316)</f>
        <v>385</v>
      </c>
      <c r="G282" s="118">
        <f>SUM(G283:G316)</f>
        <v>0</v>
      </c>
      <c r="H282" s="118">
        <f>SUM(H283:H316)</f>
        <v>1303</v>
      </c>
      <c r="I282" s="1"/>
      <c r="J282" s="1"/>
      <c r="K282" s="1"/>
      <c r="L282" s="1"/>
      <c r="M282" s="1"/>
      <c r="N282" s="1"/>
      <c r="O282" s="249"/>
    </row>
    <row r="283" spans="1:15" ht="32.25" customHeight="1">
      <c r="A283" s="108" t="s">
        <v>728</v>
      </c>
      <c r="B283" s="10"/>
      <c r="C283" s="140" t="s">
        <v>368</v>
      </c>
      <c r="D283" s="12" t="s">
        <v>89</v>
      </c>
      <c r="E283" s="118">
        <f aca="true" t="shared" si="10" ref="E283:E316">+F283+H283</f>
        <v>23.5</v>
      </c>
      <c r="F283" s="118">
        <v>23.5</v>
      </c>
      <c r="G283" s="118"/>
      <c r="H283" s="118"/>
      <c r="I283" s="1"/>
      <c r="J283" s="1"/>
      <c r="K283" s="1"/>
      <c r="L283" s="1"/>
      <c r="M283" s="1"/>
      <c r="N283" s="1"/>
      <c r="O283" s="249"/>
    </row>
    <row r="284" spans="1:15" ht="43.5" customHeight="1">
      <c r="A284" s="108" t="s">
        <v>729</v>
      </c>
      <c r="B284" s="10"/>
      <c r="C284" s="143" t="s">
        <v>494</v>
      </c>
      <c r="D284" s="12" t="s">
        <v>391</v>
      </c>
      <c r="E284" s="118">
        <f t="shared" si="10"/>
        <v>40</v>
      </c>
      <c r="F284" s="118">
        <v>40</v>
      </c>
      <c r="G284" s="118"/>
      <c r="H284" s="118"/>
      <c r="I284" s="1"/>
      <c r="J284" s="1"/>
      <c r="K284" s="1"/>
      <c r="L284" s="1"/>
      <c r="M284" s="1"/>
      <c r="N284" s="1"/>
      <c r="O284" s="249"/>
    </row>
    <row r="285" spans="1:15" ht="30" customHeight="1">
      <c r="A285" s="108" t="s">
        <v>730</v>
      </c>
      <c r="B285" s="10"/>
      <c r="C285" s="143" t="s">
        <v>369</v>
      </c>
      <c r="D285" s="12" t="s">
        <v>318</v>
      </c>
      <c r="E285" s="118">
        <f t="shared" si="10"/>
        <v>8.600000000000001</v>
      </c>
      <c r="F285" s="118"/>
      <c r="G285" s="118"/>
      <c r="H285" s="118">
        <f>30-21.4</f>
        <v>8.600000000000001</v>
      </c>
      <c r="I285" s="1"/>
      <c r="J285" s="1"/>
      <c r="K285" s="1"/>
      <c r="L285" s="1"/>
      <c r="M285" s="1"/>
      <c r="N285" s="1"/>
      <c r="O285" s="249"/>
    </row>
    <row r="286" spans="1:15" ht="13.5" customHeight="1">
      <c r="A286" s="108" t="s">
        <v>731</v>
      </c>
      <c r="B286" s="10"/>
      <c r="C286" s="143" t="s">
        <v>370</v>
      </c>
      <c r="D286" s="12" t="s">
        <v>319</v>
      </c>
      <c r="E286" s="118">
        <f t="shared" si="10"/>
        <v>2.4</v>
      </c>
      <c r="F286" s="118"/>
      <c r="G286" s="118"/>
      <c r="H286" s="118">
        <v>2.4</v>
      </c>
      <c r="I286" s="1"/>
      <c r="J286" s="1"/>
      <c r="K286" s="1"/>
      <c r="L286" s="1"/>
      <c r="M286" s="1"/>
      <c r="N286" s="1"/>
      <c r="O286" s="249"/>
    </row>
    <row r="287" spans="1:15" ht="42.75" customHeight="1">
      <c r="A287" s="108" t="s">
        <v>732</v>
      </c>
      <c r="B287" s="10"/>
      <c r="C287" s="143" t="s">
        <v>495</v>
      </c>
      <c r="D287" s="12" t="s">
        <v>547</v>
      </c>
      <c r="E287" s="118">
        <f t="shared" si="10"/>
        <v>97</v>
      </c>
      <c r="F287" s="118"/>
      <c r="G287" s="118"/>
      <c r="H287" s="118">
        <v>97</v>
      </c>
      <c r="I287" s="1"/>
      <c r="J287" s="1"/>
      <c r="K287" s="1"/>
      <c r="L287" s="1"/>
      <c r="M287" s="1"/>
      <c r="N287" s="1"/>
      <c r="O287" s="249"/>
    </row>
    <row r="288" spans="1:15" ht="65.25" customHeight="1">
      <c r="A288" s="108" t="s">
        <v>733</v>
      </c>
      <c r="B288" s="10"/>
      <c r="C288" s="143" t="s">
        <v>496</v>
      </c>
      <c r="D288" s="12" t="s">
        <v>547</v>
      </c>
      <c r="E288" s="118">
        <f t="shared" si="10"/>
        <v>353</v>
      </c>
      <c r="F288" s="118"/>
      <c r="G288" s="118"/>
      <c r="H288" s="118">
        <v>353</v>
      </c>
      <c r="I288" s="1"/>
      <c r="J288" s="1"/>
      <c r="K288" s="1"/>
      <c r="L288" s="1"/>
      <c r="M288" s="1"/>
      <c r="N288" s="1"/>
      <c r="O288" s="249"/>
    </row>
    <row r="289" spans="1:15" ht="25.5" customHeight="1">
      <c r="A289" s="108" t="s">
        <v>734</v>
      </c>
      <c r="B289" s="10"/>
      <c r="C289" s="91" t="s">
        <v>497</v>
      </c>
      <c r="D289" s="12" t="s">
        <v>318</v>
      </c>
      <c r="E289" s="118">
        <f t="shared" si="10"/>
        <v>110</v>
      </c>
      <c r="F289" s="118"/>
      <c r="G289" s="118"/>
      <c r="H289" s="118">
        <v>110</v>
      </c>
      <c r="I289" s="1"/>
      <c r="J289" s="1"/>
      <c r="K289" s="1"/>
      <c r="L289" s="1"/>
      <c r="M289" s="1"/>
      <c r="N289" s="1"/>
      <c r="O289" s="249"/>
    </row>
    <row r="290" spans="1:15" ht="25.5" customHeight="1">
      <c r="A290" s="108" t="s">
        <v>735</v>
      </c>
      <c r="B290" s="10"/>
      <c r="C290" s="91" t="s">
        <v>498</v>
      </c>
      <c r="D290" s="12" t="s">
        <v>547</v>
      </c>
      <c r="E290" s="118">
        <f t="shared" si="10"/>
        <v>35</v>
      </c>
      <c r="F290" s="118"/>
      <c r="G290" s="118"/>
      <c r="H290" s="118">
        <v>35</v>
      </c>
      <c r="I290" s="1"/>
      <c r="J290" s="1"/>
      <c r="K290" s="1"/>
      <c r="L290" s="1"/>
      <c r="M290" s="1"/>
      <c r="N290" s="1"/>
      <c r="O290" s="249"/>
    </row>
    <row r="291" spans="1:15" ht="17.25" customHeight="1">
      <c r="A291" s="108" t="s">
        <v>736</v>
      </c>
      <c r="B291" s="10"/>
      <c r="C291" s="91" t="s">
        <v>590</v>
      </c>
      <c r="D291" s="12" t="s">
        <v>318</v>
      </c>
      <c r="E291" s="118">
        <f t="shared" si="10"/>
        <v>80</v>
      </c>
      <c r="F291" s="118"/>
      <c r="G291" s="118"/>
      <c r="H291" s="118">
        <v>80</v>
      </c>
      <c r="I291" s="1"/>
      <c r="J291" s="1"/>
      <c r="K291" s="1"/>
      <c r="L291" s="1"/>
      <c r="M291" s="1"/>
      <c r="N291" s="1"/>
      <c r="O291" s="249"/>
    </row>
    <row r="292" spans="1:15" ht="27" customHeight="1">
      <c r="A292" s="108" t="s">
        <v>737</v>
      </c>
      <c r="B292" s="10"/>
      <c r="C292" s="91" t="s">
        <v>499</v>
      </c>
      <c r="D292" s="12" t="s">
        <v>547</v>
      </c>
      <c r="E292" s="118">
        <f t="shared" si="10"/>
        <v>40</v>
      </c>
      <c r="F292" s="118"/>
      <c r="G292" s="118"/>
      <c r="H292" s="118">
        <v>40</v>
      </c>
      <c r="I292" s="1"/>
      <c r="J292" s="1"/>
      <c r="K292" s="1"/>
      <c r="L292" s="1"/>
      <c r="M292" s="1"/>
      <c r="N292" s="1"/>
      <c r="O292" s="249"/>
    </row>
    <row r="293" spans="1:15" ht="145.5" customHeight="1">
      <c r="A293" s="108" t="s">
        <v>738</v>
      </c>
      <c r="B293" s="10"/>
      <c r="C293" s="140" t="s">
        <v>371</v>
      </c>
      <c r="D293" s="12" t="s">
        <v>422</v>
      </c>
      <c r="E293" s="118">
        <f t="shared" si="10"/>
        <v>60</v>
      </c>
      <c r="F293" s="118">
        <f>30+30</f>
        <v>60</v>
      </c>
      <c r="G293" s="118"/>
      <c r="H293" s="118"/>
      <c r="I293" s="1"/>
      <c r="J293" s="1"/>
      <c r="K293" s="1"/>
      <c r="L293" s="192"/>
      <c r="M293" s="192"/>
      <c r="N293" s="192"/>
      <c r="O293" s="249"/>
    </row>
    <row r="294" spans="1:15" ht="105.75" customHeight="1">
      <c r="A294" s="108" t="s">
        <v>739</v>
      </c>
      <c r="B294" s="10"/>
      <c r="C294" s="140" t="s">
        <v>372</v>
      </c>
      <c r="D294" s="12" t="s">
        <v>921</v>
      </c>
      <c r="E294" s="118">
        <f t="shared" si="10"/>
        <v>70</v>
      </c>
      <c r="F294" s="118">
        <f>40+30</f>
        <v>70</v>
      </c>
      <c r="G294" s="118"/>
      <c r="H294" s="118"/>
      <c r="I294" s="1"/>
      <c r="J294" s="1"/>
      <c r="K294" s="1"/>
      <c r="L294" s="1"/>
      <c r="M294" s="1"/>
      <c r="N294" s="1"/>
      <c r="O294" s="249"/>
    </row>
    <row r="295" spans="1:15" ht="25.5" customHeight="1">
      <c r="A295" s="108" t="s">
        <v>740</v>
      </c>
      <c r="B295" s="10"/>
      <c r="C295" s="140" t="s">
        <v>373</v>
      </c>
      <c r="D295" s="12" t="s">
        <v>170</v>
      </c>
      <c r="E295" s="118">
        <f t="shared" si="10"/>
        <v>17.6</v>
      </c>
      <c r="F295" s="118"/>
      <c r="G295" s="118"/>
      <c r="H295" s="118">
        <f>20-2.4</f>
        <v>17.6</v>
      </c>
      <c r="I295" s="1"/>
      <c r="J295" s="1"/>
      <c r="K295" s="1"/>
      <c r="L295" s="1"/>
      <c r="M295" s="1"/>
      <c r="N295" s="1"/>
      <c r="O295" s="249"/>
    </row>
    <row r="296" spans="1:15" ht="92.25" customHeight="1">
      <c r="A296" s="108" t="s">
        <v>741</v>
      </c>
      <c r="B296" s="10"/>
      <c r="C296" s="140" t="s">
        <v>888</v>
      </c>
      <c r="D296" s="12" t="s">
        <v>170</v>
      </c>
      <c r="E296" s="118">
        <f t="shared" si="10"/>
        <v>60</v>
      </c>
      <c r="F296" s="118"/>
      <c r="G296" s="118"/>
      <c r="H296" s="118">
        <f>39+16.5+4.5</f>
        <v>60</v>
      </c>
      <c r="I296" s="1"/>
      <c r="J296" s="1"/>
      <c r="K296" s="1"/>
      <c r="L296" s="1"/>
      <c r="M296" s="1"/>
      <c r="N296" s="1"/>
      <c r="O296" s="249"/>
    </row>
    <row r="297" spans="1:15" ht="14.25" customHeight="1">
      <c r="A297" s="108" t="s">
        <v>742</v>
      </c>
      <c r="B297" s="10"/>
      <c r="C297" s="49" t="s">
        <v>500</v>
      </c>
      <c r="D297" s="12" t="s">
        <v>170</v>
      </c>
      <c r="E297" s="118">
        <f t="shared" si="10"/>
        <v>6.8</v>
      </c>
      <c r="F297" s="118"/>
      <c r="G297" s="118"/>
      <c r="H297" s="118">
        <f>7-0.2</f>
        <v>6.8</v>
      </c>
      <c r="I297" s="1"/>
      <c r="J297" s="1"/>
      <c r="K297" s="1"/>
      <c r="L297" s="1"/>
      <c r="M297" s="1"/>
      <c r="N297" s="1"/>
      <c r="O297" s="249"/>
    </row>
    <row r="298" spans="1:15" ht="15" customHeight="1">
      <c r="A298" s="108" t="s">
        <v>743</v>
      </c>
      <c r="B298" s="10"/>
      <c r="C298" s="140" t="s">
        <v>501</v>
      </c>
      <c r="D298" s="12" t="s">
        <v>170</v>
      </c>
      <c r="E298" s="118">
        <f t="shared" si="10"/>
        <v>10.1</v>
      </c>
      <c r="F298" s="118"/>
      <c r="G298" s="118"/>
      <c r="H298" s="118">
        <f>11-0.9</f>
        <v>10.1</v>
      </c>
      <c r="I298" s="1"/>
      <c r="J298" s="1"/>
      <c r="K298" s="1"/>
      <c r="L298" s="1"/>
      <c r="M298" s="1"/>
      <c r="N298" s="1"/>
      <c r="O298" s="249"/>
    </row>
    <row r="299" spans="1:15" ht="26.25" customHeight="1">
      <c r="A299" s="108" t="s">
        <v>744</v>
      </c>
      <c r="B299" s="10"/>
      <c r="C299" s="140" t="s">
        <v>502</v>
      </c>
      <c r="D299" s="12" t="s">
        <v>170</v>
      </c>
      <c r="E299" s="118">
        <f t="shared" si="10"/>
        <v>4.5</v>
      </c>
      <c r="F299" s="118"/>
      <c r="G299" s="118"/>
      <c r="H299" s="118">
        <v>4.5</v>
      </c>
      <c r="I299" s="1"/>
      <c r="J299" s="1"/>
      <c r="K299" s="1"/>
      <c r="L299" s="1"/>
      <c r="M299" s="1"/>
      <c r="N299" s="1"/>
      <c r="O299" s="249"/>
    </row>
    <row r="300" spans="1:15" ht="26.25" customHeight="1">
      <c r="A300" s="108" t="s">
        <v>745</v>
      </c>
      <c r="B300" s="10"/>
      <c r="C300" s="49" t="s">
        <v>503</v>
      </c>
      <c r="D300" s="12" t="s">
        <v>170</v>
      </c>
      <c r="E300" s="118">
        <f t="shared" si="10"/>
        <v>10</v>
      </c>
      <c r="F300" s="118"/>
      <c r="G300" s="118"/>
      <c r="H300" s="118">
        <v>10</v>
      </c>
      <c r="I300" s="1"/>
      <c r="J300" s="1"/>
      <c r="K300" s="1"/>
      <c r="L300" s="1"/>
      <c r="M300" s="1"/>
      <c r="N300" s="1"/>
      <c r="O300" s="249"/>
    </row>
    <row r="301" spans="1:15" ht="42" customHeight="1">
      <c r="A301" s="108" t="s">
        <v>746</v>
      </c>
      <c r="B301" s="10"/>
      <c r="C301" s="49" t="s">
        <v>411</v>
      </c>
      <c r="D301" s="12" t="s">
        <v>170</v>
      </c>
      <c r="E301" s="118">
        <f t="shared" si="10"/>
        <v>34</v>
      </c>
      <c r="F301" s="118"/>
      <c r="G301" s="118"/>
      <c r="H301" s="118">
        <f>17+17</f>
        <v>34</v>
      </c>
      <c r="I301" s="1"/>
      <c r="J301" s="1"/>
      <c r="K301" s="1"/>
      <c r="L301" s="1"/>
      <c r="M301" s="1"/>
      <c r="N301" s="1"/>
      <c r="O301" s="249"/>
    </row>
    <row r="302" spans="1:15" ht="42" customHeight="1">
      <c r="A302" s="108" t="s">
        <v>747</v>
      </c>
      <c r="B302" s="10"/>
      <c r="C302" s="49" t="s">
        <v>504</v>
      </c>
      <c r="D302" s="12" t="s">
        <v>170</v>
      </c>
      <c r="E302" s="118">
        <f t="shared" si="10"/>
        <v>27.5</v>
      </c>
      <c r="F302" s="118"/>
      <c r="G302" s="118"/>
      <c r="H302" s="118">
        <f>28.5-1</f>
        <v>27.5</v>
      </c>
      <c r="I302" s="1"/>
      <c r="J302" s="1"/>
      <c r="K302" s="1"/>
      <c r="L302" s="1"/>
      <c r="M302" s="1"/>
      <c r="N302" s="1"/>
      <c r="O302" s="249"/>
    </row>
    <row r="303" spans="1:15" ht="39" customHeight="1">
      <c r="A303" s="108" t="s">
        <v>748</v>
      </c>
      <c r="B303" s="10"/>
      <c r="C303" s="49" t="s">
        <v>505</v>
      </c>
      <c r="D303" s="12" t="s">
        <v>548</v>
      </c>
      <c r="E303" s="118">
        <f t="shared" si="10"/>
        <v>30</v>
      </c>
      <c r="F303" s="118">
        <v>0.5</v>
      </c>
      <c r="G303" s="118"/>
      <c r="H303" s="118">
        <f>45-15.5</f>
        <v>29.5</v>
      </c>
      <c r="I303" s="1"/>
      <c r="J303" s="1"/>
      <c r="K303" s="1"/>
      <c r="L303" s="1"/>
      <c r="M303" s="1"/>
      <c r="N303" s="1"/>
      <c r="O303" s="249"/>
    </row>
    <row r="304" spans="1:15" ht="18" customHeight="1">
      <c r="A304" s="108" t="s">
        <v>749</v>
      </c>
      <c r="B304" s="10"/>
      <c r="C304" s="49" t="s">
        <v>506</v>
      </c>
      <c r="D304" s="12" t="s">
        <v>319</v>
      </c>
      <c r="E304" s="118">
        <f t="shared" si="10"/>
        <v>17</v>
      </c>
      <c r="F304" s="118"/>
      <c r="G304" s="118"/>
      <c r="H304" s="118">
        <f>35-18</f>
        <v>17</v>
      </c>
      <c r="I304" s="1"/>
      <c r="J304" s="1"/>
      <c r="K304" s="1"/>
      <c r="L304" s="1"/>
      <c r="M304" s="1"/>
      <c r="N304" s="1"/>
      <c r="O304" s="249"/>
    </row>
    <row r="305" spans="1:15" ht="32.25" customHeight="1">
      <c r="A305" s="108" t="s">
        <v>750</v>
      </c>
      <c r="B305" s="10"/>
      <c r="C305" s="49" t="s">
        <v>507</v>
      </c>
      <c r="D305" s="12" t="s">
        <v>319</v>
      </c>
      <c r="E305" s="118">
        <f t="shared" si="10"/>
        <v>295</v>
      </c>
      <c r="F305" s="118"/>
      <c r="G305" s="118"/>
      <c r="H305" s="118">
        <f>220+75</f>
        <v>295</v>
      </c>
      <c r="I305" s="1"/>
      <c r="J305" s="1"/>
      <c r="K305" s="1"/>
      <c r="L305" s="1"/>
      <c r="M305" s="1"/>
      <c r="N305" s="1"/>
      <c r="O305" s="249"/>
    </row>
    <row r="306" spans="1:15" ht="32.25" customHeight="1">
      <c r="A306" s="108" t="s">
        <v>751</v>
      </c>
      <c r="B306" s="10"/>
      <c r="C306" s="49" t="s">
        <v>912</v>
      </c>
      <c r="D306" s="12" t="s">
        <v>319</v>
      </c>
      <c r="E306" s="118">
        <f t="shared" si="10"/>
        <v>10</v>
      </c>
      <c r="F306" s="118">
        <v>10</v>
      </c>
      <c r="G306" s="118"/>
      <c r="H306" s="118"/>
      <c r="I306" s="1"/>
      <c r="J306" s="1"/>
      <c r="K306" s="1"/>
      <c r="L306" s="1"/>
      <c r="M306" s="1"/>
      <c r="N306" s="1"/>
      <c r="O306" s="249"/>
    </row>
    <row r="307" spans="1:15" ht="67.5" customHeight="1">
      <c r="A307" s="108" t="s">
        <v>752</v>
      </c>
      <c r="B307" s="10"/>
      <c r="C307" s="140" t="s">
        <v>374</v>
      </c>
      <c r="D307" s="12" t="s">
        <v>408</v>
      </c>
      <c r="E307" s="118">
        <f t="shared" si="10"/>
        <v>34</v>
      </c>
      <c r="F307" s="118">
        <v>34</v>
      </c>
      <c r="G307" s="118"/>
      <c r="H307" s="118"/>
      <c r="I307" s="1"/>
      <c r="J307" s="1"/>
      <c r="K307" s="1"/>
      <c r="L307" s="1"/>
      <c r="M307" s="1"/>
      <c r="N307" s="1"/>
      <c r="O307" s="249"/>
    </row>
    <row r="308" spans="1:15" ht="28.5" customHeight="1">
      <c r="A308" s="108" t="s">
        <v>753</v>
      </c>
      <c r="B308" s="10"/>
      <c r="C308" s="49" t="s">
        <v>508</v>
      </c>
      <c r="D308" s="12" t="s">
        <v>319</v>
      </c>
      <c r="E308" s="118">
        <f t="shared" si="10"/>
        <v>42</v>
      </c>
      <c r="F308" s="118"/>
      <c r="G308" s="118"/>
      <c r="H308" s="118">
        <f>15+13+14</f>
        <v>42</v>
      </c>
      <c r="I308" s="1"/>
      <c r="J308" s="1"/>
      <c r="K308" s="1"/>
      <c r="L308" s="1"/>
      <c r="M308" s="1"/>
      <c r="N308" s="1"/>
      <c r="O308" s="249"/>
    </row>
    <row r="309" spans="1:15" ht="15" customHeight="1">
      <c r="A309" s="108" t="s">
        <v>754</v>
      </c>
      <c r="B309" s="10"/>
      <c r="C309" s="148" t="s">
        <v>421</v>
      </c>
      <c r="D309" s="12" t="s">
        <v>319</v>
      </c>
      <c r="E309" s="118">
        <f>+F309+H309</f>
        <v>20</v>
      </c>
      <c r="F309" s="118"/>
      <c r="G309" s="118"/>
      <c r="H309" s="118">
        <f>60-40</f>
        <v>20</v>
      </c>
      <c r="I309" s="1"/>
      <c r="J309" s="1"/>
      <c r="K309" s="1"/>
      <c r="L309" s="1"/>
      <c r="M309" s="1"/>
      <c r="N309" s="1"/>
      <c r="O309" s="249"/>
    </row>
    <row r="310" spans="1:15" ht="28.5" customHeight="1">
      <c r="A310" s="108" t="s">
        <v>755</v>
      </c>
      <c r="B310" s="10"/>
      <c r="C310" s="148" t="s">
        <v>509</v>
      </c>
      <c r="D310" s="12" t="s">
        <v>319</v>
      </c>
      <c r="E310" s="118">
        <f>+F310+H310</f>
        <v>6</v>
      </c>
      <c r="F310" s="118">
        <v>6</v>
      </c>
      <c r="G310" s="118"/>
      <c r="H310" s="118"/>
      <c r="I310" s="1"/>
      <c r="J310" s="1"/>
      <c r="K310" s="1"/>
      <c r="L310" s="1"/>
      <c r="M310" s="1"/>
      <c r="N310" s="1"/>
      <c r="O310" s="249"/>
    </row>
    <row r="311" spans="1:15" ht="28.5" customHeight="1">
      <c r="A311" s="108" t="s">
        <v>756</v>
      </c>
      <c r="B311" s="10"/>
      <c r="C311" s="140" t="s">
        <v>510</v>
      </c>
      <c r="D311" s="12" t="s">
        <v>290</v>
      </c>
      <c r="E311" s="118">
        <f t="shared" si="10"/>
        <v>26</v>
      </c>
      <c r="F311" s="118">
        <v>26</v>
      </c>
      <c r="G311" s="118"/>
      <c r="H311" s="118"/>
      <c r="I311" s="1"/>
      <c r="J311" s="1"/>
      <c r="K311" s="1"/>
      <c r="L311" s="1"/>
      <c r="M311" s="1"/>
      <c r="N311" s="1"/>
      <c r="O311" s="249"/>
    </row>
    <row r="312" spans="1:15" ht="17.25" customHeight="1">
      <c r="A312" s="108" t="s">
        <v>757</v>
      </c>
      <c r="B312" s="10"/>
      <c r="C312" s="49" t="s">
        <v>511</v>
      </c>
      <c r="D312" s="12" t="s">
        <v>290</v>
      </c>
      <c r="E312" s="118">
        <f t="shared" si="10"/>
        <v>5</v>
      </c>
      <c r="F312" s="118">
        <v>5</v>
      </c>
      <c r="G312" s="118"/>
      <c r="H312" s="118"/>
      <c r="I312" s="1"/>
      <c r="J312" s="1"/>
      <c r="K312" s="1"/>
      <c r="L312" s="1"/>
      <c r="M312" s="1"/>
      <c r="N312" s="1"/>
      <c r="O312" s="249"/>
    </row>
    <row r="313" spans="1:15" ht="98.25" customHeight="1">
      <c r="A313" s="108" t="s">
        <v>758</v>
      </c>
      <c r="B313" s="10"/>
      <c r="C313" s="49" t="s">
        <v>375</v>
      </c>
      <c r="D313" s="12" t="s">
        <v>922</v>
      </c>
      <c r="E313" s="118">
        <f t="shared" si="10"/>
        <v>30</v>
      </c>
      <c r="F313" s="118">
        <v>30</v>
      </c>
      <c r="G313" s="118"/>
      <c r="H313" s="118"/>
      <c r="I313" s="1"/>
      <c r="J313" s="1"/>
      <c r="K313" s="1"/>
      <c r="L313" s="1"/>
      <c r="M313" s="1"/>
      <c r="N313" s="1"/>
      <c r="O313" s="249"/>
    </row>
    <row r="314" spans="1:15" ht="16.5" customHeight="1">
      <c r="A314" s="108" t="s">
        <v>759</v>
      </c>
      <c r="B314" s="10"/>
      <c r="C314" s="49" t="s">
        <v>512</v>
      </c>
      <c r="D314" s="12" t="s">
        <v>319</v>
      </c>
      <c r="E314" s="118">
        <f t="shared" si="10"/>
        <v>70</v>
      </c>
      <c r="F314" s="118">
        <v>70</v>
      </c>
      <c r="G314" s="118"/>
      <c r="H314" s="118"/>
      <c r="I314" s="1"/>
      <c r="J314" s="1"/>
      <c r="K314" s="1"/>
      <c r="L314" s="1"/>
      <c r="M314" s="1"/>
      <c r="N314" s="1"/>
      <c r="O314" s="249"/>
    </row>
    <row r="315" spans="1:15" ht="41.25" customHeight="1">
      <c r="A315" s="108" t="s">
        <v>760</v>
      </c>
      <c r="B315" s="10"/>
      <c r="C315" s="49" t="s">
        <v>513</v>
      </c>
      <c r="D315" s="12" t="s">
        <v>172</v>
      </c>
      <c r="E315" s="118">
        <f t="shared" si="10"/>
        <v>5</v>
      </c>
      <c r="F315" s="118">
        <v>2</v>
      </c>
      <c r="G315" s="118"/>
      <c r="H315" s="118">
        <v>3</v>
      </c>
      <c r="I315" s="1"/>
      <c r="J315" s="1"/>
      <c r="K315" s="1"/>
      <c r="L315" s="1"/>
      <c r="M315" s="1"/>
      <c r="N315" s="1"/>
      <c r="O315" s="249"/>
    </row>
    <row r="316" spans="1:15" ht="15.75" customHeight="1">
      <c r="A316" s="108" t="s">
        <v>761</v>
      </c>
      <c r="B316" s="10"/>
      <c r="C316" s="81" t="s">
        <v>514</v>
      </c>
      <c r="D316" s="12" t="s">
        <v>319</v>
      </c>
      <c r="E316" s="118">
        <f t="shared" si="10"/>
        <v>8</v>
      </c>
      <c r="F316" s="118">
        <v>8</v>
      </c>
      <c r="G316" s="118"/>
      <c r="H316" s="118">
        <f>17-17</f>
        <v>0</v>
      </c>
      <c r="I316" s="1"/>
      <c r="J316" s="1"/>
      <c r="K316" s="1"/>
      <c r="L316" s="1"/>
      <c r="M316" s="1"/>
      <c r="N316" s="1"/>
      <c r="O316" s="249"/>
    </row>
    <row r="317" spans="1:15" ht="28.5" customHeight="1">
      <c r="A317" s="108" t="s">
        <v>762</v>
      </c>
      <c r="B317" s="10"/>
      <c r="C317" s="47" t="s">
        <v>944</v>
      </c>
      <c r="D317" s="151" t="s">
        <v>405</v>
      </c>
      <c r="E317" s="118">
        <f>+F317+H317</f>
        <v>35</v>
      </c>
      <c r="F317" s="118"/>
      <c r="G317" s="118"/>
      <c r="H317" s="118">
        <v>35</v>
      </c>
      <c r="I317" s="1"/>
      <c r="J317" s="1"/>
      <c r="K317" s="1"/>
      <c r="L317" s="1"/>
      <c r="M317" s="1"/>
      <c r="N317" s="1"/>
      <c r="O317" s="249"/>
    </row>
    <row r="318" spans="1:15" ht="16.5" customHeight="1">
      <c r="A318" s="108" t="s">
        <v>763</v>
      </c>
      <c r="B318" s="10"/>
      <c r="C318" s="94" t="s">
        <v>572</v>
      </c>
      <c r="D318" s="12" t="s">
        <v>172</v>
      </c>
      <c r="E318" s="118">
        <f aca="true" t="shared" si="11" ref="E318:E331">+F318+H318</f>
        <v>22.1</v>
      </c>
      <c r="F318" s="118">
        <f>29-6.9</f>
        <v>22.1</v>
      </c>
      <c r="G318" s="118"/>
      <c r="H318" s="118"/>
      <c r="I318" s="1"/>
      <c r="J318" s="1"/>
      <c r="K318" s="1"/>
      <c r="L318" s="1"/>
      <c r="M318" s="1"/>
      <c r="N318" s="1"/>
      <c r="O318" s="249"/>
    </row>
    <row r="319" spans="1:15" ht="30" customHeight="1">
      <c r="A319" s="108" t="s">
        <v>764</v>
      </c>
      <c r="B319" s="10"/>
      <c r="C319" s="94" t="s">
        <v>573</v>
      </c>
      <c r="D319" s="12" t="s">
        <v>172</v>
      </c>
      <c r="E319" s="118">
        <f t="shared" si="11"/>
        <v>20</v>
      </c>
      <c r="F319" s="118">
        <f>40-20</f>
        <v>20</v>
      </c>
      <c r="G319" s="118"/>
      <c r="H319" s="118"/>
      <c r="I319" s="1"/>
      <c r="J319" s="1"/>
      <c r="K319" s="1"/>
      <c r="L319" s="1"/>
      <c r="M319" s="1"/>
      <c r="N319" s="1"/>
      <c r="O319" s="249"/>
    </row>
    <row r="320" spans="1:15" ht="27" customHeight="1">
      <c r="A320" s="70">
        <v>82</v>
      </c>
      <c r="B320" s="8"/>
      <c r="C320" s="81" t="s">
        <v>8</v>
      </c>
      <c r="D320" s="12" t="s">
        <v>171</v>
      </c>
      <c r="E320" s="118">
        <f t="shared" si="11"/>
        <v>156.7</v>
      </c>
      <c r="F320" s="118">
        <f>165.1-8.4</f>
        <v>156.7</v>
      </c>
      <c r="G320" s="118"/>
      <c r="H320" s="118"/>
      <c r="I320" s="1"/>
      <c r="J320" s="1"/>
      <c r="K320" s="1"/>
      <c r="L320" s="1"/>
      <c r="M320" s="1"/>
      <c r="N320" s="1"/>
      <c r="O320" s="249"/>
    </row>
    <row r="321" spans="1:15" ht="27" customHeight="1">
      <c r="A321" s="70">
        <v>83</v>
      </c>
      <c r="B321" s="8"/>
      <c r="C321" s="81" t="s">
        <v>4</v>
      </c>
      <c r="D321" s="12" t="s">
        <v>170</v>
      </c>
      <c r="E321" s="118">
        <f t="shared" si="11"/>
        <v>20.1</v>
      </c>
      <c r="F321" s="118">
        <v>20.1</v>
      </c>
      <c r="G321" s="118"/>
      <c r="H321" s="118"/>
      <c r="I321" s="1"/>
      <c r="J321" s="1"/>
      <c r="K321" s="1"/>
      <c r="L321" s="1"/>
      <c r="M321" s="1"/>
      <c r="N321" s="1"/>
      <c r="O321" s="249"/>
    </row>
    <row r="322" spans="1:15" ht="27" customHeight="1">
      <c r="A322" s="70">
        <v>84</v>
      </c>
      <c r="B322" s="8"/>
      <c r="C322" s="81" t="s">
        <v>5</v>
      </c>
      <c r="D322" s="12" t="s">
        <v>170</v>
      </c>
      <c r="E322" s="118">
        <f t="shared" si="11"/>
        <v>7.3</v>
      </c>
      <c r="F322" s="118">
        <f>6.8+0.5</f>
        <v>7.3</v>
      </c>
      <c r="G322" s="118"/>
      <c r="H322" s="118"/>
      <c r="I322" s="1"/>
      <c r="J322" s="1"/>
      <c r="K322" s="1"/>
      <c r="L322" s="1"/>
      <c r="M322" s="1"/>
      <c r="N322" s="1"/>
      <c r="O322" s="249"/>
    </row>
    <row r="323" spans="1:16" ht="27" customHeight="1">
      <c r="A323" s="70">
        <v>85</v>
      </c>
      <c r="B323" s="8"/>
      <c r="C323" s="91" t="s">
        <v>7</v>
      </c>
      <c r="D323" s="12" t="s">
        <v>170</v>
      </c>
      <c r="E323" s="118">
        <f t="shared" si="11"/>
        <v>14.5</v>
      </c>
      <c r="F323" s="118">
        <v>14.5</v>
      </c>
      <c r="G323" s="118"/>
      <c r="H323" s="118"/>
      <c r="I323" s="1"/>
      <c r="J323" s="1"/>
      <c r="K323" s="1"/>
      <c r="L323" s="1"/>
      <c r="M323" s="1"/>
      <c r="N323" s="1"/>
      <c r="O323" s="249"/>
      <c r="P323" s="1"/>
    </row>
    <row r="324" spans="1:15" ht="27" customHeight="1">
      <c r="A324" s="70">
        <v>86</v>
      </c>
      <c r="B324" s="8"/>
      <c r="C324" s="81" t="s">
        <v>6</v>
      </c>
      <c r="D324" s="12" t="s">
        <v>170</v>
      </c>
      <c r="E324" s="118">
        <f t="shared" si="11"/>
        <v>16.1</v>
      </c>
      <c r="F324" s="118">
        <v>16.1</v>
      </c>
      <c r="G324" s="118"/>
      <c r="H324" s="118"/>
      <c r="I324" s="1"/>
      <c r="J324" s="1"/>
      <c r="K324" s="1"/>
      <c r="L324" s="1"/>
      <c r="M324" s="1"/>
      <c r="N324" s="1"/>
      <c r="O324" s="249"/>
    </row>
    <row r="325" spans="1:15" ht="27" customHeight="1">
      <c r="A325" s="70">
        <v>87</v>
      </c>
      <c r="B325" s="8"/>
      <c r="C325" s="81" t="s">
        <v>9</v>
      </c>
      <c r="D325" s="12" t="s">
        <v>170</v>
      </c>
      <c r="E325" s="118">
        <f t="shared" si="11"/>
        <v>14.5</v>
      </c>
      <c r="F325" s="118">
        <v>14.5</v>
      </c>
      <c r="G325" s="118"/>
      <c r="H325" s="118"/>
      <c r="I325" s="1"/>
      <c r="J325" s="1"/>
      <c r="K325" s="1"/>
      <c r="L325" s="1"/>
      <c r="M325" s="1"/>
      <c r="N325" s="1"/>
      <c r="O325" s="249"/>
    </row>
    <row r="326" spans="1:15" ht="27" customHeight="1">
      <c r="A326" s="70">
        <v>88</v>
      </c>
      <c r="B326" s="8"/>
      <c r="C326" s="91" t="s">
        <v>10</v>
      </c>
      <c r="D326" s="12" t="s">
        <v>170</v>
      </c>
      <c r="E326" s="118">
        <f t="shared" si="11"/>
        <v>9.7</v>
      </c>
      <c r="F326" s="118">
        <v>9.7</v>
      </c>
      <c r="G326" s="118"/>
      <c r="H326" s="118"/>
      <c r="I326" s="1"/>
      <c r="J326" s="1"/>
      <c r="K326" s="1"/>
      <c r="L326" s="1"/>
      <c r="M326" s="1"/>
      <c r="N326" s="1"/>
      <c r="O326" s="249"/>
    </row>
    <row r="327" spans="1:15" ht="27" customHeight="1">
      <c r="A327" s="70">
        <v>89</v>
      </c>
      <c r="B327" s="8"/>
      <c r="C327" s="81" t="s">
        <v>12</v>
      </c>
      <c r="D327" s="12" t="s">
        <v>170</v>
      </c>
      <c r="E327" s="118">
        <f t="shared" si="11"/>
        <v>9.5</v>
      </c>
      <c r="F327" s="118">
        <v>9.5</v>
      </c>
      <c r="G327" s="118"/>
      <c r="H327" s="118"/>
      <c r="I327" s="1"/>
      <c r="J327" s="1"/>
      <c r="K327" s="1"/>
      <c r="L327" s="1"/>
      <c r="M327" s="1"/>
      <c r="N327" s="1"/>
      <c r="O327" s="249"/>
    </row>
    <row r="328" spans="1:15" ht="27" customHeight="1">
      <c r="A328" s="70">
        <v>90</v>
      </c>
      <c r="B328" s="8"/>
      <c r="C328" s="81" t="s">
        <v>320</v>
      </c>
      <c r="D328" s="12" t="s">
        <v>170</v>
      </c>
      <c r="E328" s="118">
        <f t="shared" si="11"/>
        <v>11.7</v>
      </c>
      <c r="F328" s="118">
        <v>11.7</v>
      </c>
      <c r="G328" s="118"/>
      <c r="H328" s="118"/>
      <c r="I328" s="1"/>
      <c r="J328" s="1"/>
      <c r="K328" s="1"/>
      <c r="L328" s="1"/>
      <c r="M328" s="1"/>
      <c r="N328" s="1"/>
      <c r="O328" s="249"/>
    </row>
    <row r="329" spans="1:15" ht="27" customHeight="1">
      <c r="A329" s="70">
        <v>91</v>
      </c>
      <c r="B329" s="8"/>
      <c r="C329" s="81" t="s">
        <v>13</v>
      </c>
      <c r="D329" s="12" t="s">
        <v>170</v>
      </c>
      <c r="E329" s="118">
        <f t="shared" si="11"/>
        <v>9.3</v>
      </c>
      <c r="F329" s="118">
        <v>9.3</v>
      </c>
      <c r="G329" s="118"/>
      <c r="H329" s="118"/>
      <c r="I329" s="1"/>
      <c r="J329" s="1"/>
      <c r="K329" s="1"/>
      <c r="L329" s="1"/>
      <c r="M329" s="1"/>
      <c r="N329" s="1"/>
      <c r="O329" s="249"/>
    </row>
    <row r="330" spans="1:15" ht="27" customHeight="1">
      <c r="A330" s="70">
        <v>92</v>
      </c>
      <c r="B330" s="10"/>
      <c r="C330" s="81" t="s">
        <v>14</v>
      </c>
      <c r="D330" s="12" t="s">
        <v>170</v>
      </c>
      <c r="E330" s="118">
        <f t="shared" si="11"/>
        <v>14.2</v>
      </c>
      <c r="F330" s="118">
        <v>14.2</v>
      </c>
      <c r="G330" s="118"/>
      <c r="H330" s="118"/>
      <c r="I330" s="1"/>
      <c r="J330" s="1"/>
      <c r="K330" s="1"/>
      <c r="L330" s="1"/>
      <c r="M330" s="1"/>
      <c r="N330" s="1"/>
      <c r="O330" s="249"/>
    </row>
    <row r="331" spans="1:15" ht="19.5" customHeight="1">
      <c r="A331" s="70">
        <v>93</v>
      </c>
      <c r="B331" s="8" t="s">
        <v>173</v>
      </c>
      <c r="C331" s="11" t="s">
        <v>174</v>
      </c>
      <c r="D331" s="9"/>
      <c r="E331" s="136">
        <f t="shared" si="11"/>
        <v>2477.9</v>
      </c>
      <c r="F331" s="136">
        <f>+F342+F344+F348+F346+F340+F350+F351+F354+F353+F356+F358+F332</f>
        <v>2425.1</v>
      </c>
      <c r="G331" s="136">
        <f>+G342+G344+G348+G346+G340+G350+G351+G354+G353+G356+G358+G332</f>
        <v>374.3</v>
      </c>
      <c r="H331" s="136">
        <f>+H342+H344+H348+H346+H340+H350+H351+H354+H353+H356+H358+H332</f>
        <v>52.8</v>
      </c>
      <c r="I331" s="1"/>
      <c r="J331" s="1"/>
      <c r="K331" s="1"/>
      <c r="L331" s="1"/>
      <c r="M331" s="1"/>
      <c r="N331" s="1"/>
      <c r="O331" s="249"/>
    </row>
    <row r="332" spans="1:15" ht="12" customHeight="1">
      <c r="A332" s="70">
        <v>94</v>
      </c>
      <c r="B332" s="10"/>
      <c r="C332" s="91" t="s">
        <v>141</v>
      </c>
      <c r="D332" s="12"/>
      <c r="E332" s="118">
        <f>+F332+H332</f>
        <v>1014.9</v>
      </c>
      <c r="F332" s="118">
        <f>+F334+F335+F337+F338+F339</f>
        <v>993.9</v>
      </c>
      <c r="G332" s="118">
        <f>+G334+G335+G337+G338+G339</f>
        <v>0</v>
      </c>
      <c r="H332" s="118">
        <f>+H334+H335+H337+H338+H339</f>
        <v>21</v>
      </c>
      <c r="I332" s="1"/>
      <c r="J332" s="1"/>
      <c r="K332" s="1"/>
      <c r="L332" s="1"/>
      <c r="M332" s="1"/>
      <c r="N332" s="1"/>
      <c r="O332" s="249"/>
    </row>
    <row r="333" spans="1:15" ht="12" customHeight="1">
      <c r="A333" s="70"/>
      <c r="B333" s="10"/>
      <c r="C333" s="48" t="s">
        <v>142</v>
      </c>
      <c r="D333" s="10"/>
      <c r="E333" s="118"/>
      <c r="F333" s="118"/>
      <c r="G333" s="118"/>
      <c r="H333" s="118"/>
      <c r="I333" s="1"/>
      <c r="J333" s="1"/>
      <c r="K333" s="1"/>
      <c r="L333" s="1"/>
      <c r="M333" s="1"/>
      <c r="N333" s="1"/>
      <c r="O333" s="249"/>
    </row>
    <row r="334" spans="1:15" ht="12" customHeight="1">
      <c r="A334" s="108" t="s">
        <v>765</v>
      </c>
      <c r="B334" s="10"/>
      <c r="C334" s="48" t="s">
        <v>3</v>
      </c>
      <c r="D334" s="10" t="s">
        <v>549</v>
      </c>
      <c r="E334" s="118">
        <f aca="true" t="shared" si="12" ref="E334:E359">+F334+H334</f>
        <v>17.5</v>
      </c>
      <c r="F334" s="118">
        <v>17.5</v>
      </c>
      <c r="G334" s="118"/>
      <c r="H334" s="118"/>
      <c r="I334" s="1"/>
      <c r="J334" s="1"/>
      <c r="K334" s="1"/>
      <c r="L334" s="1"/>
      <c r="M334" s="1"/>
      <c r="N334" s="1"/>
      <c r="O334" s="249"/>
    </row>
    <row r="335" spans="1:15" ht="43.5" customHeight="1">
      <c r="A335" s="108" t="s">
        <v>766</v>
      </c>
      <c r="B335" s="10"/>
      <c r="C335" s="94" t="s">
        <v>478</v>
      </c>
      <c r="D335" s="10"/>
      <c r="E335" s="118">
        <f t="shared" si="12"/>
        <v>20</v>
      </c>
      <c r="F335" s="118">
        <f>SUM(F336:F336)</f>
        <v>20</v>
      </c>
      <c r="G335" s="118">
        <f>SUM(G336:G336)</f>
        <v>0</v>
      </c>
      <c r="H335" s="118">
        <f>SUM(H336:H336)</f>
        <v>0</v>
      </c>
      <c r="I335" s="1"/>
      <c r="J335" s="1"/>
      <c r="K335" s="1"/>
      <c r="L335" s="1"/>
      <c r="M335" s="1"/>
      <c r="N335" s="1"/>
      <c r="O335" s="249"/>
    </row>
    <row r="336" spans="1:15" ht="27" customHeight="1">
      <c r="A336" s="108" t="s">
        <v>767</v>
      </c>
      <c r="B336" s="10"/>
      <c r="C336" s="49" t="s">
        <v>515</v>
      </c>
      <c r="D336" s="10" t="s">
        <v>549</v>
      </c>
      <c r="E336" s="118">
        <f t="shared" si="12"/>
        <v>20</v>
      </c>
      <c r="F336" s="118">
        <v>20</v>
      </c>
      <c r="G336" s="118"/>
      <c r="H336" s="118"/>
      <c r="I336" s="1"/>
      <c r="J336" s="1"/>
      <c r="K336" s="1"/>
      <c r="L336" s="1"/>
      <c r="M336" s="1"/>
      <c r="N336" s="1"/>
      <c r="O336" s="249"/>
    </row>
    <row r="337" spans="1:15" ht="29.25" customHeight="1">
      <c r="A337" s="108" t="s">
        <v>768</v>
      </c>
      <c r="B337" s="10"/>
      <c r="C337" s="47" t="s">
        <v>944</v>
      </c>
      <c r="D337" s="151" t="s">
        <v>405</v>
      </c>
      <c r="E337" s="118">
        <f t="shared" si="12"/>
        <v>158</v>
      </c>
      <c r="F337" s="118">
        <f>154-11+4-2-8</f>
        <v>137</v>
      </c>
      <c r="G337" s="118"/>
      <c r="H337" s="118">
        <f>11+2+8</f>
        <v>21</v>
      </c>
      <c r="I337" s="1"/>
      <c r="J337" s="1"/>
      <c r="K337" s="1"/>
      <c r="L337" s="1"/>
      <c r="M337" s="1"/>
      <c r="N337" s="1"/>
      <c r="O337" s="249"/>
    </row>
    <row r="338" spans="1:16" ht="15" customHeight="1">
      <c r="A338" s="108" t="s">
        <v>769</v>
      </c>
      <c r="B338" s="10"/>
      <c r="C338" s="47" t="s">
        <v>574</v>
      </c>
      <c r="D338" s="151" t="s">
        <v>176</v>
      </c>
      <c r="E338" s="118">
        <f t="shared" si="12"/>
        <v>730</v>
      </c>
      <c r="F338" s="118">
        <v>730</v>
      </c>
      <c r="G338" s="118"/>
      <c r="H338" s="118"/>
      <c r="I338" s="1"/>
      <c r="J338" s="1"/>
      <c r="K338" s="1"/>
      <c r="L338" s="1"/>
      <c r="M338" s="1"/>
      <c r="N338" s="1"/>
      <c r="O338" s="249"/>
      <c r="P338" s="23"/>
    </row>
    <row r="339" spans="1:16" ht="15" customHeight="1">
      <c r="A339" s="108" t="s">
        <v>770</v>
      </c>
      <c r="B339" s="10"/>
      <c r="C339" s="47" t="s">
        <v>575</v>
      </c>
      <c r="D339" s="151" t="s">
        <v>176</v>
      </c>
      <c r="E339" s="118">
        <f t="shared" si="12"/>
        <v>89.4</v>
      </c>
      <c r="F339" s="118">
        <v>89.4</v>
      </c>
      <c r="G339" s="118"/>
      <c r="H339" s="118"/>
      <c r="I339" s="1"/>
      <c r="J339" s="1"/>
      <c r="K339" s="1"/>
      <c r="L339" s="1"/>
      <c r="M339" s="1"/>
      <c r="N339" s="1"/>
      <c r="O339" s="249"/>
      <c r="P339" s="23"/>
    </row>
    <row r="340" spans="1:17" ht="39" customHeight="1">
      <c r="A340" s="303">
        <v>95</v>
      </c>
      <c r="B340" s="304"/>
      <c r="C340" s="13" t="s">
        <v>8</v>
      </c>
      <c r="D340" s="312" t="s">
        <v>177</v>
      </c>
      <c r="E340" s="118">
        <f t="shared" si="12"/>
        <v>808.5</v>
      </c>
      <c r="F340" s="118">
        <f>777.6+F341+3.5+11.4-6.8+3.8+8</f>
        <v>798.5</v>
      </c>
      <c r="G340" s="118">
        <f>95.6+G341-5.2</f>
        <v>91.19999999999999</v>
      </c>
      <c r="H340" s="118">
        <v>10</v>
      </c>
      <c r="I340" s="1"/>
      <c r="O340" s="1"/>
      <c r="P340" s="1"/>
      <c r="Q340" s="1"/>
    </row>
    <row r="341" spans="1:17" ht="39" customHeight="1">
      <c r="A341" s="303"/>
      <c r="B341" s="304"/>
      <c r="C341" s="243" t="s">
        <v>609</v>
      </c>
      <c r="D341" s="312"/>
      <c r="E341" s="118">
        <f t="shared" si="12"/>
        <v>1</v>
      </c>
      <c r="F341" s="118">
        <v>1</v>
      </c>
      <c r="G341" s="118">
        <v>0.8</v>
      </c>
      <c r="H341" s="118"/>
      <c r="I341" s="1"/>
      <c r="O341" s="1"/>
      <c r="P341" s="1"/>
      <c r="Q341" s="1"/>
    </row>
    <row r="342" spans="1:15" ht="24.75" customHeight="1">
      <c r="A342" s="303">
        <v>96</v>
      </c>
      <c r="B342" s="304"/>
      <c r="C342" s="81" t="s">
        <v>4</v>
      </c>
      <c r="D342" s="312" t="s">
        <v>175</v>
      </c>
      <c r="E342" s="118">
        <f t="shared" si="12"/>
        <v>93.2</v>
      </c>
      <c r="F342" s="118">
        <f>65.9+F343+1.1+3+5.5+3</f>
        <v>80.3</v>
      </c>
      <c r="G342" s="118">
        <f>29.4+G343+1.9</f>
        <v>32.6</v>
      </c>
      <c r="H342" s="118">
        <f>14-1.1</f>
        <v>12.9</v>
      </c>
      <c r="I342" s="1"/>
      <c r="J342" s="1"/>
      <c r="K342" s="1"/>
      <c r="L342" s="1"/>
      <c r="M342" s="1"/>
      <c r="N342" s="1"/>
      <c r="O342" s="249"/>
    </row>
    <row r="343" spans="1:15" ht="30.75" customHeight="1">
      <c r="A343" s="303"/>
      <c r="B343" s="304"/>
      <c r="C343" s="243" t="s">
        <v>609</v>
      </c>
      <c r="D343" s="312"/>
      <c r="E343" s="118">
        <f t="shared" si="12"/>
        <v>1.8</v>
      </c>
      <c r="F343" s="118">
        <v>1.8</v>
      </c>
      <c r="G343" s="118">
        <f>1.4-0.1</f>
        <v>1.2999999999999998</v>
      </c>
      <c r="H343" s="118"/>
      <c r="I343" s="1"/>
      <c r="J343" s="1"/>
      <c r="K343" s="1"/>
      <c r="L343" s="1"/>
      <c r="M343" s="1"/>
      <c r="N343" s="1"/>
      <c r="O343" s="249"/>
    </row>
    <row r="344" spans="1:15" ht="24.75" customHeight="1">
      <c r="A344" s="303">
        <v>97</v>
      </c>
      <c r="B344" s="304"/>
      <c r="C344" s="81" t="s">
        <v>5</v>
      </c>
      <c r="D344" s="312" t="s">
        <v>176</v>
      </c>
      <c r="E344" s="118">
        <f t="shared" si="12"/>
        <v>74.2</v>
      </c>
      <c r="F344" s="118">
        <f>70+F345+0.3+3</f>
        <v>74.2</v>
      </c>
      <c r="G344" s="118">
        <f>41+G345+0.3+2.1</f>
        <v>44.1</v>
      </c>
      <c r="H344" s="118"/>
      <c r="I344" s="1"/>
      <c r="J344" s="1"/>
      <c r="K344" s="1"/>
      <c r="L344" s="1"/>
      <c r="M344" s="1"/>
      <c r="N344" s="1"/>
      <c r="O344" s="249"/>
    </row>
    <row r="345" spans="1:15" ht="24.75" customHeight="1">
      <c r="A345" s="303"/>
      <c r="B345" s="304"/>
      <c r="C345" s="243" t="s">
        <v>609</v>
      </c>
      <c r="D345" s="312"/>
      <c r="E345" s="118">
        <f t="shared" si="12"/>
        <v>0.9</v>
      </c>
      <c r="F345" s="118">
        <v>0.9</v>
      </c>
      <c r="G345" s="118">
        <v>0.7</v>
      </c>
      <c r="H345" s="118"/>
      <c r="I345" s="1"/>
      <c r="J345" s="1"/>
      <c r="K345" s="1"/>
      <c r="L345" s="1"/>
      <c r="M345" s="1"/>
      <c r="N345" s="1"/>
      <c r="O345" s="249"/>
    </row>
    <row r="346" spans="1:18" ht="24.75" customHeight="1">
      <c r="A346" s="303">
        <v>98</v>
      </c>
      <c r="B346" s="304"/>
      <c r="C346" s="81" t="s">
        <v>7</v>
      </c>
      <c r="D346" s="312" t="s">
        <v>175</v>
      </c>
      <c r="E346" s="118">
        <f>+F346+H346</f>
        <v>63.7</v>
      </c>
      <c r="F346" s="118">
        <f>61.6+F347-0.7+1.7</f>
        <v>63</v>
      </c>
      <c r="G346" s="118">
        <f>27.4+G347-0.4</f>
        <v>27.3</v>
      </c>
      <c r="H346" s="118">
        <v>0.7</v>
      </c>
      <c r="I346" s="1"/>
      <c r="J346" s="1"/>
      <c r="K346" s="1"/>
      <c r="L346" s="1"/>
      <c r="M346" s="1"/>
      <c r="N346" s="1"/>
      <c r="O346" s="249"/>
      <c r="R346" s="23"/>
    </row>
    <row r="347" spans="1:18" ht="24.75" customHeight="1">
      <c r="A347" s="303"/>
      <c r="B347" s="304"/>
      <c r="C347" s="243" t="s">
        <v>609</v>
      </c>
      <c r="D347" s="312"/>
      <c r="E347" s="118">
        <f>+F347+H347</f>
        <v>0.4</v>
      </c>
      <c r="F347" s="118">
        <v>0.4</v>
      </c>
      <c r="G347" s="118">
        <v>0.3</v>
      </c>
      <c r="H347" s="118"/>
      <c r="I347" s="1"/>
      <c r="J347" s="1"/>
      <c r="K347" s="1"/>
      <c r="L347" s="1"/>
      <c r="M347" s="1"/>
      <c r="N347" s="1"/>
      <c r="O347" s="249"/>
      <c r="R347" s="23"/>
    </row>
    <row r="348" spans="1:15" ht="24.75" customHeight="1">
      <c r="A348" s="303">
        <v>99</v>
      </c>
      <c r="B348" s="304"/>
      <c r="C348" s="13" t="s">
        <v>6</v>
      </c>
      <c r="D348" s="312" t="s">
        <v>175</v>
      </c>
      <c r="E348" s="118">
        <f t="shared" si="12"/>
        <v>52.8</v>
      </c>
      <c r="F348" s="118">
        <f>45.6+F349+4.4</f>
        <v>51.3</v>
      </c>
      <c r="G348" s="118">
        <f>20.7+G349+2.5</f>
        <v>24.2</v>
      </c>
      <c r="H348" s="118">
        <v>1.5</v>
      </c>
      <c r="I348" s="1"/>
      <c r="J348" s="1"/>
      <c r="K348" s="1"/>
      <c r="L348" s="1"/>
      <c r="M348" s="1"/>
      <c r="N348" s="1"/>
      <c r="O348" s="249"/>
    </row>
    <row r="349" spans="1:15" ht="24.75" customHeight="1">
      <c r="A349" s="303"/>
      <c r="B349" s="304"/>
      <c r="C349" s="243" t="s">
        <v>609</v>
      </c>
      <c r="D349" s="312"/>
      <c r="E349" s="118">
        <f t="shared" si="12"/>
        <v>1.3</v>
      </c>
      <c r="F349" s="118">
        <v>1.3</v>
      </c>
      <c r="G349" s="118">
        <v>1</v>
      </c>
      <c r="H349" s="118"/>
      <c r="I349" s="1"/>
      <c r="J349" s="1"/>
      <c r="K349" s="1"/>
      <c r="L349" s="1"/>
      <c r="M349" s="1"/>
      <c r="N349" s="1"/>
      <c r="O349" s="249"/>
    </row>
    <row r="350" spans="1:15" ht="24.75" customHeight="1">
      <c r="A350" s="70">
        <v>100</v>
      </c>
      <c r="B350" s="10"/>
      <c r="C350" s="81" t="s">
        <v>9</v>
      </c>
      <c r="D350" s="258" t="s">
        <v>178</v>
      </c>
      <c r="E350" s="118">
        <f t="shared" si="12"/>
        <v>56.6</v>
      </c>
      <c r="F350" s="118">
        <f>51+0.9+4.7</f>
        <v>56.6</v>
      </c>
      <c r="G350" s="118">
        <f>24.1+0.6+1.4</f>
        <v>26.1</v>
      </c>
      <c r="H350" s="118"/>
      <c r="I350" s="1"/>
      <c r="J350" s="1"/>
      <c r="K350" s="1"/>
      <c r="L350" s="1"/>
      <c r="M350" s="1"/>
      <c r="N350" s="1"/>
      <c r="O350" s="249"/>
    </row>
    <row r="351" spans="1:15" ht="24.75" customHeight="1">
      <c r="A351" s="303">
        <v>101</v>
      </c>
      <c r="B351" s="304"/>
      <c r="C351" s="91" t="s">
        <v>10</v>
      </c>
      <c r="D351" s="312" t="s">
        <v>175</v>
      </c>
      <c r="E351" s="118">
        <f t="shared" si="12"/>
        <v>28.799999999999997</v>
      </c>
      <c r="F351" s="118">
        <f>27.4+F352-1.4+1.2</f>
        <v>27.4</v>
      </c>
      <c r="G351" s="118">
        <f>10.8+G352+0.4+1</f>
        <v>12.3</v>
      </c>
      <c r="H351" s="118">
        <v>1.4</v>
      </c>
      <c r="I351" s="1"/>
      <c r="J351" s="1"/>
      <c r="K351" s="1"/>
      <c r="L351" s="1"/>
      <c r="M351" s="1"/>
      <c r="N351" s="1"/>
      <c r="O351" s="249"/>
    </row>
    <row r="352" spans="1:15" ht="24.75" customHeight="1">
      <c r="A352" s="303"/>
      <c r="B352" s="304"/>
      <c r="C352" s="243" t="s">
        <v>609</v>
      </c>
      <c r="D352" s="312"/>
      <c r="E352" s="118">
        <f t="shared" si="12"/>
        <v>0.2</v>
      </c>
      <c r="F352" s="118">
        <v>0.2</v>
      </c>
      <c r="G352" s="118">
        <v>0.1</v>
      </c>
      <c r="H352" s="118"/>
      <c r="I352" s="1"/>
      <c r="J352" s="1"/>
      <c r="K352" s="1"/>
      <c r="L352" s="1"/>
      <c r="M352" s="1"/>
      <c r="N352" s="1"/>
      <c r="O352" s="249"/>
    </row>
    <row r="353" spans="1:15" ht="29.25" customHeight="1">
      <c r="A353" s="70">
        <v>102</v>
      </c>
      <c r="B353" s="10"/>
      <c r="C353" s="81" t="s">
        <v>12</v>
      </c>
      <c r="D353" s="258" t="s">
        <v>175</v>
      </c>
      <c r="E353" s="118">
        <f>+F353+H353</f>
        <v>27.1</v>
      </c>
      <c r="F353" s="118">
        <f>24.3+1.8+1</f>
        <v>27.1</v>
      </c>
      <c r="G353" s="118">
        <f>9.7+1.4+0.7</f>
        <v>11.799999999999999</v>
      </c>
      <c r="H353" s="118"/>
      <c r="I353" s="1"/>
      <c r="J353" s="1"/>
      <c r="K353" s="1"/>
      <c r="L353" s="1"/>
      <c r="M353" s="1"/>
      <c r="N353" s="1"/>
      <c r="O353" s="249"/>
    </row>
    <row r="354" spans="1:15" ht="42.75" customHeight="1">
      <c r="A354" s="303">
        <v>103</v>
      </c>
      <c r="B354" s="304"/>
      <c r="C354" s="13" t="s">
        <v>320</v>
      </c>
      <c r="D354" s="258" t="s">
        <v>175</v>
      </c>
      <c r="E354" s="118">
        <f t="shared" si="12"/>
        <v>40.8</v>
      </c>
      <c r="F354" s="118">
        <f>36.8+F355+1.5+2.2</f>
        <v>40.8</v>
      </c>
      <c r="G354" s="118">
        <f>16.3+G355+1.1+0.2</f>
        <v>17.8</v>
      </c>
      <c r="H354" s="118"/>
      <c r="I354" s="1"/>
      <c r="J354" s="1"/>
      <c r="K354" s="1"/>
      <c r="L354" s="1"/>
      <c r="M354" s="1"/>
      <c r="N354" s="1"/>
      <c r="O354" s="249"/>
    </row>
    <row r="355" spans="1:15" ht="25.5" customHeight="1">
      <c r="A355" s="303"/>
      <c r="B355" s="304"/>
      <c r="C355" s="243" t="s">
        <v>609</v>
      </c>
      <c r="D355" s="258"/>
      <c r="E355" s="118">
        <f t="shared" si="12"/>
        <v>0.3</v>
      </c>
      <c r="F355" s="118">
        <v>0.3</v>
      </c>
      <c r="G355" s="118">
        <v>0.2</v>
      </c>
      <c r="H355" s="118"/>
      <c r="I355" s="1"/>
      <c r="J355" s="1"/>
      <c r="K355" s="1"/>
      <c r="L355" s="1"/>
      <c r="M355" s="1"/>
      <c r="N355" s="1"/>
      <c r="O355" s="249"/>
    </row>
    <row r="356" spans="1:15" ht="24.75" customHeight="1">
      <c r="A356" s="303">
        <v>104</v>
      </c>
      <c r="B356" s="304"/>
      <c r="C356" s="81" t="s">
        <v>13</v>
      </c>
      <c r="D356" s="258" t="s">
        <v>175</v>
      </c>
      <c r="E356" s="118">
        <f t="shared" si="12"/>
        <v>41.7</v>
      </c>
      <c r="F356" s="118">
        <f>39.7+F357+1.7</f>
        <v>41.7</v>
      </c>
      <c r="G356" s="118">
        <f>16+G357+1.7</f>
        <v>18</v>
      </c>
      <c r="H356" s="118"/>
      <c r="I356" s="1"/>
      <c r="J356" s="1"/>
      <c r="K356" s="1"/>
      <c r="L356" s="1"/>
      <c r="M356" s="1"/>
      <c r="N356" s="1"/>
      <c r="O356" s="249"/>
    </row>
    <row r="357" spans="1:15" ht="24.75" customHeight="1">
      <c r="A357" s="303"/>
      <c r="B357" s="304"/>
      <c r="C357" s="243" t="s">
        <v>609</v>
      </c>
      <c r="D357" s="258"/>
      <c r="E357" s="118">
        <f t="shared" si="12"/>
        <v>0.3</v>
      </c>
      <c r="F357" s="118">
        <v>0.3</v>
      </c>
      <c r="G357" s="118">
        <v>0.3</v>
      </c>
      <c r="H357" s="118"/>
      <c r="I357" s="1"/>
      <c r="J357" s="1"/>
      <c r="K357" s="1"/>
      <c r="L357" s="1"/>
      <c r="M357" s="1"/>
      <c r="N357" s="1"/>
      <c r="O357" s="249"/>
    </row>
    <row r="358" spans="1:15" ht="24.75" customHeight="1">
      <c r="A358" s="303">
        <v>105</v>
      </c>
      <c r="B358" s="304"/>
      <c r="C358" s="81" t="s">
        <v>14</v>
      </c>
      <c r="D358" s="258" t="s">
        <v>175</v>
      </c>
      <c r="E358" s="118">
        <f t="shared" si="12"/>
        <v>175.6</v>
      </c>
      <c r="F358" s="118">
        <f>156.9+F359+2.6+9.1</f>
        <v>170.29999999999998</v>
      </c>
      <c r="G358" s="118">
        <f>66+G359+1.6</f>
        <v>68.89999999999999</v>
      </c>
      <c r="H358" s="118">
        <v>5.3</v>
      </c>
      <c r="I358" s="1"/>
      <c r="J358" s="1"/>
      <c r="K358" s="1"/>
      <c r="L358" s="1"/>
      <c r="M358" s="1"/>
      <c r="N358" s="1"/>
      <c r="O358" s="249"/>
    </row>
    <row r="359" spans="1:15" ht="24.75" customHeight="1">
      <c r="A359" s="303"/>
      <c r="B359" s="304"/>
      <c r="C359" s="243" t="s">
        <v>609</v>
      </c>
      <c r="D359" s="258"/>
      <c r="E359" s="118">
        <f t="shared" si="12"/>
        <v>1.7</v>
      </c>
      <c r="F359" s="118">
        <v>1.7</v>
      </c>
      <c r="G359" s="118">
        <v>1.3</v>
      </c>
      <c r="H359" s="118"/>
      <c r="I359" s="1"/>
      <c r="J359" s="1"/>
      <c r="K359" s="1"/>
      <c r="L359" s="1"/>
      <c r="M359" s="1"/>
      <c r="N359" s="1"/>
      <c r="O359" s="249"/>
    </row>
    <row r="360" spans="1:15" ht="16.5" customHeight="1">
      <c r="A360" s="70">
        <v>106</v>
      </c>
      <c r="B360" s="8" t="s">
        <v>64</v>
      </c>
      <c r="C360" s="11" t="s">
        <v>65</v>
      </c>
      <c r="D360" s="258"/>
      <c r="E360" s="120">
        <f>+F360+H360</f>
        <v>39.8</v>
      </c>
      <c r="F360" s="120">
        <f>+F361</f>
        <v>39.8</v>
      </c>
      <c r="G360" s="136">
        <f>+G361</f>
        <v>0</v>
      </c>
      <c r="H360" s="136">
        <f>+H361</f>
        <v>0</v>
      </c>
      <c r="I360" s="1"/>
      <c r="J360" s="1"/>
      <c r="K360" s="1"/>
      <c r="L360" s="1"/>
      <c r="M360" s="1"/>
      <c r="N360" s="1"/>
      <c r="O360" s="249"/>
    </row>
    <row r="361" spans="1:15" ht="16.5" customHeight="1">
      <c r="A361" s="70">
        <v>107</v>
      </c>
      <c r="B361" s="8"/>
      <c r="C361" s="91" t="s">
        <v>141</v>
      </c>
      <c r="D361" s="258"/>
      <c r="E361" s="118">
        <f>+F361+H361</f>
        <v>39.8</v>
      </c>
      <c r="F361" s="118">
        <f>+F363</f>
        <v>39.8</v>
      </c>
      <c r="G361" s="118">
        <f>+G363</f>
        <v>0</v>
      </c>
      <c r="H361" s="118">
        <f>+H363</f>
        <v>0</v>
      </c>
      <c r="I361" s="1"/>
      <c r="J361" s="1"/>
      <c r="K361" s="1"/>
      <c r="L361" s="1"/>
      <c r="M361" s="1"/>
      <c r="N361" s="1"/>
      <c r="O361" s="249"/>
    </row>
    <row r="362" spans="1:15" ht="16.5" customHeight="1">
      <c r="A362" s="70"/>
      <c r="B362" s="8"/>
      <c r="C362" s="48" t="s">
        <v>142</v>
      </c>
      <c r="D362" s="258"/>
      <c r="E362" s="118"/>
      <c r="F362" s="118"/>
      <c r="G362" s="118"/>
      <c r="H362" s="118"/>
      <c r="I362" s="1"/>
      <c r="J362" s="1"/>
      <c r="K362" s="1"/>
      <c r="L362" s="1"/>
      <c r="M362" s="1"/>
      <c r="N362" s="1"/>
      <c r="O362" s="249"/>
    </row>
    <row r="363" spans="1:15" ht="41.25" customHeight="1">
      <c r="A363" s="108" t="s">
        <v>771</v>
      </c>
      <c r="B363" s="10"/>
      <c r="C363" s="94" t="s">
        <v>478</v>
      </c>
      <c r="D363" s="258"/>
      <c r="E363" s="118">
        <f>+F363+H363</f>
        <v>39.8</v>
      </c>
      <c r="F363" s="118">
        <f>+F364</f>
        <v>39.8</v>
      </c>
      <c r="G363" s="118">
        <f>+G364</f>
        <v>0</v>
      </c>
      <c r="H363" s="118">
        <f>+H364</f>
        <v>0</v>
      </c>
      <c r="I363" s="1"/>
      <c r="J363" s="1"/>
      <c r="K363" s="1"/>
      <c r="L363" s="1"/>
      <c r="M363" s="1"/>
      <c r="N363" s="1"/>
      <c r="O363" s="249"/>
    </row>
    <row r="364" spans="1:15" ht="30" customHeight="1">
      <c r="A364" s="108" t="s">
        <v>772</v>
      </c>
      <c r="B364" s="10"/>
      <c r="C364" s="81" t="s">
        <v>516</v>
      </c>
      <c r="D364" s="258" t="s">
        <v>550</v>
      </c>
      <c r="E364" s="118">
        <f>+F364+H364</f>
        <v>39.8</v>
      </c>
      <c r="F364" s="118">
        <f>20+20-0.2</f>
        <v>39.8</v>
      </c>
      <c r="G364" s="118"/>
      <c r="H364" s="118"/>
      <c r="I364" s="1"/>
      <c r="J364" s="1"/>
      <c r="K364" s="1"/>
      <c r="L364" s="1"/>
      <c r="M364" s="1"/>
      <c r="N364" s="1"/>
      <c r="O364" s="249"/>
    </row>
    <row r="365" spans="1:15" ht="19.5" customHeight="1">
      <c r="A365" s="70">
        <v>108</v>
      </c>
      <c r="B365" s="8" t="s">
        <v>180</v>
      </c>
      <c r="C365" s="11" t="s">
        <v>181</v>
      </c>
      <c r="D365" s="9"/>
      <c r="E365" s="136">
        <f>+F365+H365</f>
        <v>21</v>
      </c>
      <c r="F365" s="136">
        <f>+F366</f>
        <v>21</v>
      </c>
      <c r="G365" s="136">
        <f>+G366</f>
        <v>0</v>
      </c>
      <c r="H365" s="136">
        <f>+H366</f>
        <v>0</v>
      </c>
      <c r="I365" s="1"/>
      <c r="J365" s="1"/>
      <c r="K365" s="1"/>
      <c r="L365" s="1"/>
      <c r="M365" s="1"/>
      <c r="N365" s="1"/>
      <c r="O365" s="249"/>
    </row>
    <row r="366" spans="1:15" ht="12" customHeight="1">
      <c r="A366" s="70">
        <v>109</v>
      </c>
      <c r="B366" s="8"/>
      <c r="C366" s="91" t="s">
        <v>141</v>
      </c>
      <c r="D366" s="9"/>
      <c r="E366" s="124">
        <f>+F366+H366</f>
        <v>21</v>
      </c>
      <c r="F366" s="124">
        <f>+F368+F369</f>
        <v>21</v>
      </c>
      <c r="G366" s="124">
        <f>SUM(G368:G368)</f>
        <v>0</v>
      </c>
      <c r="H366" s="124">
        <f>SUM(H368:H368)</f>
        <v>0</v>
      </c>
      <c r="I366" s="1"/>
      <c r="J366" s="1"/>
      <c r="K366" s="1"/>
      <c r="L366" s="1"/>
      <c r="M366" s="1"/>
      <c r="N366" s="1"/>
      <c r="O366" s="249"/>
    </row>
    <row r="367" spans="1:15" ht="12" customHeight="1">
      <c r="A367" s="70"/>
      <c r="B367" s="8"/>
      <c r="C367" s="48" t="s">
        <v>142</v>
      </c>
      <c r="D367" s="9"/>
      <c r="E367" s="122"/>
      <c r="F367" s="122"/>
      <c r="G367" s="122"/>
      <c r="H367" s="122"/>
      <c r="I367" s="1"/>
      <c r="J367" s="1"/>
      <c r="K367" s="1"/>
      <c r="L367" s="1"/>
      <c r="M367" s="1"/>
      <c r="N367" s="1"/>
      <c r="O367" s="249"/>
    </row>
    <row r="368" spans="1:15" ht="24.75" customHeight="1">
      <c r="A368" s="108" t="s">
        <v>773</v>
      </c>
      <c r="B368" s="10"/>
      <c r="C368" s="13" t="s">
        <v>571</v>
      </c>
      <c r="D368" s="12" t="s">
        <v>182</v>
      </c>
      <c r="E368" s="118">
        <f aca="true" t="shared" si="13" ref="E368:E375">+F368+H368</f>
        <v>20</v>
      </c>
      <c r="F368" s="118">
        <v>20</v>
      </c>
      <c r="G368" s="124"/>
      <c r="H368" s="124"/>
      <c r="I368" s="1"/>
      <c r="J368" s="1"/>
      <c r="K368" s="1"/>
      <c r="L368" s="1"/>
      <c r="M368" s="1"/>
      <c r="N368" s="1"/>
      <c r="O368" s="249"/>
    </row>
    <row r="369" spans="1:15" ht="24.75" customHeight="1">
      <c r="A369" s="108" t="s">
        <v>774</v>
      </c>
      <c r="B369" s="10"/>
      <c r="C369" s="13" t="s">
        <v>184</v>
      </c>
      <c r="D369" s="12" t="s">
        <v>410</v>
      </c>
      <c r="E369" s="118">
        <f t="shared" si="13"/>
        <v>1</v>
      </c>
      <c r="F369" s="118">
        <v>1</v>
      </c>
      <c r="G369" s="124"/>
      <c r="H369" s="124"/>
      <c r="I369" s="1"/>
      <c r="J369" s="1"/>
      <c r="K369" s="1"/>
      <c r="L369" s="1"/>
      <c r="M369" s="1"/>
      <c r="N369" s="1"/>
      <c r="O369" s="249"/>
    </row>
    <row r="370" spans="1:15" ht="19.5" customHeight="1">
      <c r="A370" s="70">
        <v>110</v>
      </c>
      <c r="B370" s="8" t="s">
        <v>27</v>
      </c>
      <c r="C370" s="11" t="s">
        <v>28</v>
      </c>
      <c r="D370" s="9"/>
      <c r="E370" s="136">
        <f t="shared" si="13"/>
        <v>3436.1</v>
      </c>
      <c r="F370" s="136">
        <f>+F371+F373+F375+F384+F386+F389+F392+F395+F398+F402+F405+F408+F411+F414+F417</f>
        <v>3331.2999999999997</v>
      </c>
      <c r="G370" s="136">
        <f>+G371+G373+G375+G384+G386+G389+G392+G395+G398+G402+G405+G408+G411+G414+G417</f>
        <v>1630.6999999999998</v>
      </c>
      <c r="H370" s="136">
        <f>+H371+H373+H375+H384+H386+H389+H392+H395+H398+H402+H405+H408+H411+H414+H417</f>
        <v>104.8</v>
      </c>
      <c r="I370" s="1"/>
      <c r="J370" s="1"/>
      <c r="K370" s="1"/>
      <c r="L370" s="1"/>
      <c r="M370" s="1"/>
      <c r="N370" s="1"/>
      <c r="O370" s="249"/>
    </row>
    <row r="371" spans="1:15" ht="13.5" customHeight="1">
      <c r="A371" s="303">
        <v>111</v>
      </c>
      <c r="B371" s="332"/>
      <c r="C371" s="81" t="s">
        <v>29</v>
      </c>
      <c r="D371" s="330" t="s">
        <v>30</v>
      </c>
      <c r="E371" s="118">
        <f t="shared" si="13"/>
        <v>62.800000000000004</v>
      </c>
      <c r="F371" s="118">
        <f>62.1-50.5+F372+0.3</f>
        <v>12.300000000000002</v>
      </c>
      <c r="G371" s="118">
        <f>4.4+G372+0.3</f>
        <v>5</v>
      </c>
      <c r="H371" s="118">
        <v>50.5</v>
      </c>
      <c r="I371" s="1"/>
      <c r="J371" s="1"/>
      <c r="K371" s="1"/>
      <c r="L371" s="1"/>
      <c r="M371" s="1"/>
      <c r="N371" s="1"/>
      <c r="O371" s="249"/>
    </row>
    <row r="372" spans="1:15" ht="27.75" customHeight="1">
      <c r="A372" s="303"/>
      <c r="B372" s="332"/>
      <c r="C372" s="243" t="s">
        <v>609</v>
      </c>
      <c r="D372" s="330"/>
      <c r="E372" s="118">
        <f t="shared" si="13"/>
        <v>0.4</v>
      </c>
      <c r="F372" s="118">
        <v>0.4</v>
      </c>
      <c r="G372" s="118">
        <v>0.3</v>
      </c>
      <c r="H372" s="118"/>
      <c r="I372" s="1"/>
      <c r="J372" s="1"/>
      <c r="K372" s="1"/>
      <c r="L372" s="1"/>
      <c r="M372" s="1"/>
      <c r="N372" s="1"/>
      <c r="O372" s="249"/>
    </row>
    <row r="373" spans="1:15" ht="13.5" customHeight="1">
      <c r="A373" s="303">
        <v>112</v>
      </c>
      <c r="B373" s="332"/>
      <c r="C373" s="91" t="s">
        <v>183</v>
      </c>
      <c r="D373" s="330" t="s">
        <v>289</v>
      </c>
      <c r="E373" s="118">
        <f t="shared" si="13"/>
        <v>95.69999999999999</v>
      </c>
      <c r="F373" s="118">
        <f>91.6-1.8+0.2+4.1</f>
        <v>94.1</v>
      </c>
      <c r="G373" s="118">
        <f>63.6+2.6</f>
        <v>66.2</v>
      </c>
      <c r="H373" s="118">
        <f>1.8-0.2</f>
        <v>1.6</v>
      </c>
      <c r="I373" s="1"/>
      <c r="J373" s="1"/>
      <c r="K373" s="1"/>
      <c r="L373" s="1"/>
      <c r="M373" s="1"/>
      <c r="N373" s="1"/>
      <c r="O373" s="249"/>
    </row>
    <row r="374" spans="1:15" ht="13.5" customHeight="1">
      <c r="A374" s="303"/>
      <c r="B374" s="332"/>
      <c r="C374" s="263" t="s">
        <v>584</v>
      </c>
      <c r="D374" s="330"/>
      <c r="E374" s="118">
        <f t="shared" si="13"/>
        <v>2.7</v>
      </c>
      <c r="F374" s="118">
        <v>2.7</v>
      </c>
      <c r="G374" s="118">
        <v>2.1</v>
      </c>
      <c r="H374" s="118"/>
      <c r="I374" s="1"/>
      <c r="J374" s="1"/>
      <c r="K374" s="1"/>
      <c r="L374" s="1"/>
      <c r="M374" s="1"/>
      <c r="N374" s="1"/>
      <c r="O374" s="249"/>
    </row>
    <row r="375" spans="1:15" ht="13.5" customHeight="1">
      <c r="A375" s="70">
        <v>113</v>
      </c>
      <c r="B375" s="8"/>
      <c r="C375" s="91" t="s">
        <v>141</v>
      </c>
      <c r="D375" s="12"/>
      <c r="E375" s="118">
        <f t="shared" si="13"/>
        <v>2324</v>
      </c>
      <c r="F375" s="118">
        <f>+F377+F379+F380+F381+F382+F383</f>
        <v>2272.1</v>
      </c>
      <c r="G375" s="118">
        <f>+G377+G379+G380+G381+G382+G383</f>
        <v>1030.4</v>
      </c>
      <c r="H375" s="118">
        <f>+H377+H379+H380+H381+H382+H383</f>
        <v>51.9</v>
      </c>
      <c r="I375" s="1"/>
      <c r="J375" s="1"/>
      <c r="K375" s="1"/>
      <c r="L375" s="1"/>
      <c r="M375" s="1"/>
      <c r="N375" s="1"/>
      <c r="O375" s="249"/>
    </row>
    <row r="376" spans="1:15" ht="12" customHeight="1">
      <c r="A376" s="70"/>
      <c r="B376" s="8"/>
      <c r="C376" s="13" t="s">
        <v>142</v>
      </c>
      <c r="D376" s="12"/>
      <c r="E376" s="118"/>
      <c r="F376" s="118"/>
      <c r="G376" s="118"/>
      <c r="H376" s="118"/>
      <c r="I376" s="1"/>
      <c r="J376" s="1"/>
      <c r="K376" s="1"/>
      <c r="L376" s="1"/>
      <c r="M376" s="1"/>
      <c r="N376" s="1"/>
      <c r="O376" s="249"/>
    </row>
    <row r="377" spans="1:15" ht="93.75" customHeight="1">
      <c r="A377" s="336" t="s">
        <v>775</v>
      </c>
      <c r="B377" s="332"/>
      <c r="C377" s="91" t="s">
        <v>184</v>
      </c>
      <c r="D377" s="330" t="s">
        <v>404</v>
      </c>
      <c r="E377" s="118">
        <f>+F377+H377</f>
        <v>2065.2999999999997</v>
      </c>
      <c r="F377" s="118">
        <f>1982.6-51.9-6+3.3+16.5+68.9</f>
        <v>2013.3999999999999</v>
      </c>
      <c r="G377" s="118">
        <f>988.5+2.5+39.4</f>
        <v>1030.4</v>
      </c>
      <c r="H377" s="118">
        <v>51.9</v>
      </c>
      <c r="I377" s="1"/>
      <c r="J377" s="1"/>
      <c r="K377" s="261"/>
      <c r="L377" s="1"/>
      <c r="M377" s="1"/>
      <c r="N377" s="1"/>
      <c r="O377" s="249"/>
    </row>
    <row r="378" spans="1:15" ht="13.5" customHeight="1">
      <c r="A378" s="336"/>
      <c r="B378" s="332"/>
      <c r="C378" s="263" t="s">
        <v>584</v>
      </c>
      <c r="D378" s="330"/>
      <c r="E378" s="118">
        <f>+F378+H378</f>
        <v>10.1</v>
      </c>
      <c r="F378" s="118">
        <v>10.1</v>
      </c>
      <c r="G378" s="118">
        <v>7.7</v>
      </c>
      <c r="H378" s="118"/>
      <c r="I378" s="1"/>
      <c r="J378" s="1"/>
      <c r="K378" s="261"/>
      <c r="L378" s="1"/>
      <c r="M378" s="1"/>
      <c r="N378" s="1"/>
      <c r="O378" s="249"/>
    </row>
    <row r="379" spans="1:15" ht="28.5" customHeight="1">
      <c r="A379" s="108" t="s">
        <v>776</v>
      </c>
      <c r="B379" s="10"/>
      <c r="C379" s="13" t="s">
        <v>576</v>
      </c>
      <c r="D379" s="12" t="s">
        <v>185</v>
      </c>
      <c r="E379" s="118">
        <f aca="true" t="shared" si="14" ref="E379:E419">+F379+H379</f>
        <v>10.2</v>
      </c>
      <c r="F379" s="118">
        <v>10.2</v>
      </c>
      <c r="G379" s="118"/>
      <c r="H379" s="118"/>
      <c r="I379" s="1"/>
      <c r="J379" s="1"/>
      <c r="K379" s="1"/>
      <c r="L379" s="1"/>
      <c r="M379" s="1"/>
      <c r="N379" s="1"/>
      <c r="O379" s="249"/>
    </row>
    <row r="380" spans="1:15" ht="24.75" customHeight="1">
      <c r="A380" s="108" t="s">
        <v>777</v>
      </c>
      <c r="B380" s="10"/>
      <c r="C380" s="13" t="s">
        <v>577</v>
      </c>
      <c r="D380" s="12" t="s">
        <v>360</v>
      </c>
      <c r="E380" s="118">
        <f t="shared" si="14"/>
        <v>20</v>
      </c>
      <c r="F380" s="118">
        <v>20</v>
      </c>
      <c r="G380" s="118"/>
      <c r="H380" s="118"/>
      <c r="I380" s="1"/>
      <c r="J380" s="1"/>
      <c r="K380" s="1"/>
      <c r="L380" s="1"/>
      <c r="M380" s="1"/>
      <c r="N380" s="1"/>
      <c r="O380" s="249"/>
    </row>
    <row r="381" spans="1:15" ht="27.75" customHeight="1">
      <c r="A381" s="108" t="s">
        <v>778</v>
      </c>
      <c r="B381" s="10"/>
      <c r="C381" s="13" t="s">
        <v>578</v>
      </c>
      <c r="D381" s="12" t="s">
        <v>89</v>
      </c>
      <c r="E381" s="118">
        <f t="shared" si="14"/>
        <v>19</v>
      </c>
      <c r="F381" s="118">
        <v>19</v>
      </c>
      <c r="G381" s="118"/>
      <c r="H381" s="118"/>
      <c r="I381" s="1"/>
      <c r="J381" s="1"/>
      <c r="K381" s="1"/>
      <c r="L381" s="1"/>
      <c r="M381" s="1"/>
      <c r="N381" s="1"/>
      <c r="O381" s="249"/>
    </row>
    <row r="382" spans="1:15" ht="24.75" customHeight="1">
      <c r="A382" s="108" t="s">
        <v>779</v>
      </c>
      <c r="B382" s="10"/>
      <c r="C382" s="13" t="s">
        <v>579</v>
      </c>
      <c r="D382" s="12" t="s">
        <v>186</v>
      </c>
      <c r="E382" s="118">
        <f t="shared" si="14"/>
        <v>193</v>
      </c>
      <c r="F382" s="118">
        <v>193</v>
      </c>
      <c r="G382" s="118"/>
      <c r="H382" s="118"/>
      <c r="I382" s="1"/>
      <c r="J382" s="1"/>
      <c r="K382" s="1"/>
      <c r="L382" s="1"/>
      <c r="M382" s="1"/>
      <c r="N382" s="1"/>
      <c r="O382" s="249"/>
    </row>
    <row r="383" spans="1:15" ht="16.5" customHeight="1">
      <c r="A383" s="108" t="s">
        <v>780</v>
      </c>
      <c r="B383" s="10"/>
      <c r="C383" s="13" t="s">
        <v>580</v>
      </c>
      <c r="D383" s="12" t="s">
        <v>89</v>
      </c>
      <c r="E383" s="118">
        <f t="shared" si="14"/>
        <v>16.5</v>
      </c>
      <c r="F383" s="118">
        <v>16.5</v>
      </c>
      <c r="G383" s="118"/>
      <c r="H383" s="118"/>
      <c r="I383" s="1"/>
      <c r="J383" s="1"/>
      <c r="K383" s="1"/>
      <c r="L383" s="1"/>
      <c r="M383" s="1"/>
      <c r="N383" s="1"/>
      <c r="O383" s="249"/>
    </row>
    <row r="384" spans="1:15" ht="12" customHeight="1">
      <c r="A384" s="70">
        <v>114</v>
      </c>
      <c r="B384" s="10"/>
      <c r="C384" s="91" t="s">
        <v>184</v>
      </c>
      <c r="D384" s="12"/>
      <c r="E384" s="118">
        <f>+E385</f>
        <v>45</v>
      </c>
      <c r="F384" s="118">
        <f>+F385</f>
        <v>45</v>
      </c>
      <c r="G384" s="118"/>
      <c r="H384" s="118"/>
      <c r="I384" s="1"/>
      <c r="J384" s="1"/>
      <c r="K384" s="1"/>
      <c r="L384" s="1"/>
      <c r="M384" s="1"/>
      <c r="N384" s="1"/>
      <c r="O384" s="249"/>
    </row>
    <row r="385" spans="1:15" ht="12" customHeight="1">
      <c r="A385" s="108" t="s">
        <v>781</v>
      </c>
      <c r="B385" s="10"/>
      <c r="C385" s="13" t="s">
        <v>187</v>
      </c>
      <c r="D385" s="12" t="s">
        <v>188</v>
      </c>
      <c r="E385" s="118">
        <f t="shared" si="14"/>
        <v>45</v>
      </c>
      <c r="F385" s="118">
        <v>45</v>
      </c>
      <c r="G385" s="118"/>
      <c r="H385" s="118"/>
      <c r="I385" s="1"/>
      <c r="J385" s="1"/>
      <c r="K385" s="1"/>
      <c r="L385" s="1"/>
      <c r="M385" s="1"/>
      <c r="N385" s="1"/>
      <c r="O385" s="249"/>
    </row>
    <row r="386" spans="1:15" ht="24.75" customHeight="1">
      <c r="A386" s="303">
        <v>115</v>
      </c>
      <c r="B386" s="304"/>
      <c r="C386" s="81" t="s">
        <v>8</v>
      </c>
      <c r="D386" s="330" t="s">
        <v>339</v>
      </c>
      <c r="E386" s="118">
        <f>+F386+H386</f>
        <v>159.59999999999997</v>
      </c>
      <c r="F386" s="118">
        <f>142.2+F387+4.5+11.2</f>
        <v>159.59999999999997</v>
      </c>
      <c r="G386" s="118">
        <f>92.9+G387+3.6+6.2</f>
        <v>104</v>
      </c>
      <c r="H386" s="118"/>
      <c r="I386" s="1"/>
      <c r="J386" s="1"/>
      <c r="K386" s="1"/>
      <c r="L386" s="1"/>
      <c r="M386" s="1"/>
      <c r="N386" s="1"/>
      <c r="O386" s="249"/>
    </row>
    <row r="387" spans="1:15" ht="24.75" customHeight="1">
      <c r="A387" s="303"/>
      <c r="B387" s="304"/>
      <c r="C387" s="243" t="s">
        <v>609</v>
      </c>
      <c r="D387" s="330"/>
      <c r="E387" s="118">
        <f>+F387+H387</f>
        <v>1.7</v>
      </c>
      <c r="F387" s="118">
        <v>1.7</v>
      </c>
      <c r="G387" s="118">
        <v>1.3</v>
      </c>
      <c r="H387" s="118"/>
      <c r="I387" s="1"/>
      <c r="J387" s="1"/>
      <c r="K387" s="1"/>
      <c r="L387" s="1"/>
      <c r="M387" s="1"/>
      <c r="N387" s="1"/>
      <c r="O387" s="249"/>
    </row>
    <row r="388" spans="1:16" ht="17.25" customHeight="1">
      <c r="A388" s="303"/>
      <c r="B388" s="304"/>
      <c r="C388" s="26" t="s">
        <v>303</v>
      </c>
      <c r="D388" s="12" t="s">
        <v>98</v>
      </c>
      <c r="E388" s="118">
        <f>+F388+H388</f>
        <v>22.8</v>
      </c>
      <c r="F388" s="118">
        <f>18.5+4.3</f>
        <v>22.8</v>
      </c>
      <c r="G388" s="118">
        <v>17.3</v>
      </c>
      <c r="H388" s="118"/>
      <c r="I388" s="1"/>
      <c r="J388" s="1"/>
      <c r="K388" s="1"/>
      <c r="L388" s="1"/>
      <c r="M388" s="1"/>
      <c r="N388" s="1"/>
      <c r="O388" s="249"/>
      <c r="P388" s="129"/>
    </row>
    <row r="389" spans="1:15" ht="39.75" customHeight="1">
      <c r="A389" s="303">
        <v>116</v>
      </c>
      <c r="B389" s="304"/>
      <c r="C389" s="81" t="s">
        <v>4</v>
      </c>
      <c r="D389" s="330" t="s">
        <v>339</v>
      </c>
      <c r="E389" s="118">
        <f t="shared" si="14"/>
        <v>67.19999999999997</v>
      </c>
      <c r="F389" s="118">
        <f>68+F390-2.9+0.1+1.6</f>
        <v>67.09999999999998</v>
      </c>
      <c r="G389" s="118">
        <f>46+G390-2.1</f>
        <v>44.1</v>
      </c>
      <c r="H389" s="118">
        <v>0.1</v>
      </c>
      <c r="I389" s="1"/>
      <c r="J389" s="1"/>
      <c r="K389" s="1"/>
      <c r="L389" s="1"/>
      <c r="M389" s="1"/>
      <c r="N389" s="1"/>
      <c r="O389" s="249"/>
    </row>
    <row r="390" spans="1:15" ht="24.75" customHeight="1">
      <c r="A390" s="303"/>
      <c r="B390" s="304"/>
      <c r="C390" s="243" t="s">
        <v>609</v>
      </c>
      <c r="D390" s="330"/>
      <c r="E390" s="118">
        <f t="shared" si="14"/>
        <v>0.3</v>
      </c>
      <c r="F390" s="118">
        <v>0.3</v>
      </c>
      <c r="G390" s="118">
        <v>0.2</v>
      </c>
      <c r="H390" s="118"/>
      <c r="I390" s="1"/>
      <c r="J390" s="1"/>
      <c r="K390" s="1"/>
      <c r="L390" s="1"/>
      <c r="M390" s="1"/>
      <c r="N390" s="1"/>
      <c r="O390" s="249"/>
    </row>
    <row r="391" spans="1:15" ht="17.25" customHeight="1">
      <c r="A391" s="303"/>
      <c r="B391" s="304"/>
      <c r="C391" s="26" t="s">
        <v>303</v>
      </c>
      <c r="D391" s="12" t="s">
        <v>98</v>
      </c>
      <c r="E391" s="118">
        <f t="shared" si="14"/>
        <v>9.2</v>
      </c>
      <c r="F391" s="118">
        <f>9.1+0.1</f>
        <v>9.2</v>
      </c>
      <c r="G391" s="118">
        <v>7</v>
      </c>
      <c r="H391" s="118"/>
      <c r="I391" s="1"/>
      <c r="J391" s="1"/>
      <c r="K391" s="1"/>
      <c r="L391" s="1"/>
      <c r="M391" s="1"/>
      <c r="N391" s="1"/>
      <c r="O391" s="249"/>
    </row>
    <row r="392" spans="1:15" ht="25.5">
      <c r="A392" s="303">
        <v>117</v>
      </c>
      <c r="B392" s="304"/>
      <c r="C392" s="81" t="s">
        <v>5</v>
      </c>
      <c r="D392" s="330" t="s">
        <v>339</v>
      </c>
      <c r="E392" s="118">
        <f t="shared" si="14"/>
        <v>91.39999999999999</v>
      </c>
      <c r="F392" s="118">
        <f>81+F393+0.7+8.6</f>
        <v>91.39999999999999</v>
      </c>
      <c r="G392" s="118">
        <f>38.9+G393+0.6+2</f>
        <v>42.3</v>
      </c>
      <c r="H392" s="118"/>
      <c r="I392" s="1"/>
      <c r="J392" s="1"/>
      <c r="K392" s="1"/>
      <c r="L392" s="1"/>
      <c r="M392" s="1"/>
      <c r="N392" s="1"/>
      <c r="O392" s="249"/>
    </row>
    <row r="393" spans="1:15" ht="25.5">
      <c r="A393" s="303"/>
      <c r="B393" s="304"/>
      <c r="C393" s="243" t="s">
        <v>609</v>
      </c>
      <c r="D393" s="330"/>
      <c r="E393" s="118">
        <f t="shared" si="14"/>
        <v>1.1</v>
      </c>
      <c r="F393" s="118">
        <v>1.1</v>
      </c>
      <c r="G393" s="118">
        <v>0.8</v>
      </c>
      <c r="H393" s="118"/>
      <c r="I393" s="1"/>
      <c r="J393" s="1"/>
      <c r="K393" s="1"/>
      <c r="L393" s="1"/>
      <c r="M393" s="1"/>
      <c r="N393" s="1"/>
      <c r="O393" s="249"/>
    </row>
    <row r="394" spans="1:15" ht="15.75" customHeight="1">
      <c r="A394" s="303"/>
      <c r="B394" s="304"/>
      <c r="C394" s="26" t="s">
        <v>303</v>
      </c>
      <c r="D394" s="12" t="s">
        <v>98</v>
      </c>
      <c r="E394" s="118">
        <f t="shared" si="14"/>
        <v>2.8</v>
      </c>
      <c r="F394" s="118">
        <v>2.8</v>
      </c>
      <c r="G394" s="118">
        <v>2.1</v>
      </c>
      <c r="H394" s="118"/>
      <c r="I394" s="1"/>
      <c r="J394" s="1"/>
      <c r="K394" s="1"/>
      <c r="L394" s="1"/>
      <c r="M394" s="1"/>
      <c r="N394" s="1"/>
      <c r="O394" s="249"/>
    </row>
    <row r="395" spans="1:15" ht="24.75" customHeight="1">
      <c r="A395" s="303">
        <v>118</v>
      </c>
      <c r="B395" s="304"/>
      <c r="C395" s="81" t="s">
        <v>7</v>
      </c>
      <c r="D395" s="330" t="s">
        <v>339</v>
      </c>
      <c r="E395" s="118">
        <f>+F395+H395</f>
        <v>70.6</v>
      </c>
      <c r="F395" s="118">
        <f>63.1+F396+6.6</f>
        <v>70.6</v>
      </c>
      <c r="G395" s="118">
        <f>37.9+G396-0.7+3.2</f>
        <v>41.1</v>
      </c>
      <c r="H395" s="118"/>
      <c r="I395" s="1"/>
      <c r="J395" s="1"/>
      <c r="K395" s="1"/>
      <c r="L395" s="1"/>
      <c r="M395" s="1"/>
      <c r="N395" s="1"/>
      <c r="O395" s="249"/>
    </row>
    <row r="396" spans="1:15" ht="24.75" customHeight="1">
      <c r="A396" s="303"/>
      <c r="B396" s="304"/>
      <c r="C396" s="243" t="s">
        <v>609</v>
      </c>
      <c r="D396" s="330"/>
      <c r="E396" s="118">
        <f>+F396+H396</f>
        <v>0.9</v>
      </c>
      <c r="F396" s="118">
        <v>0.9</v>
      </c>
      <c r="G396" s="118">
        <v>0.7</v>
      </c>
      <c r="H396" s="118"/>
      <c r="I396" s="1"/>
      <c r="J396" s="1"/>
      <c r="K396" s="1"/>
      <c r="L396" s="1"/>
      <c r="M396" s="1"/>
      <c r="N396" s="1"/>
      <c r="O396" s="249"/>
    </row>
    <row r="397" spans="1:15" ht="17.25" customHeight="1">
      <c r="A397" s="303"/>
      <c r="B397" s="304"/>
      <c r="C397" s="26" t="s">
        <v>303</v>
      </c>
      <c r="D397" s="12" t="s">
        <v>98</v>
      </c>
      <c r="E397" s="118">
        <f>+F397+H397</f>
        <v>3.3</v>
      </c>
      <c r="F397" s="118">
        <v>3.3</v>
      </c>
      <c r="G397" s="118">
        <v>2.5</v>
      </c>
      <c r="H397" s="118"/>
      <c r="I397" s="1"/>
      <c r="J397" s="1"/>
      <c r="K397" s="1"/>
      <c r="L397" s="1"/>
      <c r="M397" s="1"/>
      <c r="N397" s="1"/>
      <c r="O397" s="249"/>
    </row>
    <row r="398" spans="1:15" ht="24.75" customHeight="1">
      <c r="A398" s="303">
        <v>119</v>
      </c>
      <c r="B398" s="304"/>
      <c r="C398" s="81" t="s">
        <v>6</v>
      </c>
      <c r="D398" s="305" t="s">
        <v>339</v>
      </c>
      <c r="E398" s="118">
        <f t="shared" si="14"/>
        <v>69.39999999999999</v>
      </c>
      <c r="F398" s="118">
        <f>65+F400+0.5+1.5+1.6</f>
        <v>69.39999999999999</v>
      </c>
      <c r="G398" s="118">
        <f>39.6+G400+1.1+0.4</f>
        <v>41.7</v>
      </c>
      <c r="H398" s="118"/>
      <c r="I398" s="1"/>
      <c r="J398" s="1"/>
      <c r="K398" s="1"/>
      <c r="L398" s="1"/>
      <c r="M398" s="1"/>
      <c r="N398" s="1"/>
      <c r="O398" s="249"/>
    </row>
    <row r="399" spans="1:15" ht="18.75" customHeight="1">
      <c r="A399" s="303"/>
      <c r="B399" s="304"/>
      <c r="C399" s="263" t="s">
        <v>584</v>
      </c>
      <c r="D399" s="311"/>
      <c r="E399" s="118">
        <f t="shared" si="14"/>
        <v>0.1</v>
      </c>
      <c r="F399" s="118">
        <v>0.1</v>
      </c>
      <c r="G399" s="118">
        <v>0.1</v>
      </c>
      <c r="H399" s="118"/>
      <c r="I399" s="1"/>
      <c r="J399" s="1"/>
      <c r="K399" s="1"/>
      <c r="L399" s="1"/>
      <c r="M399" s="1"/>
      <c r="N399" s="1"/>
      <c r="O399" s="249"/>
    </row>
    <row r="400" spans="1:15" ht="27" customHeight="1">
      <c r="A400" s="303"/>
      <c r="B400" s="304"/>
      <c r="C400" s="243" t="s">
        <v>609</v>
      </c>
      <c r="D400" s="306"/>
      <c r="E400" s="118">
        <f t="shared" si="14"/>
        <v>0.8</v>
      </c>
      <c r="F400" s="118">
        <v>0.8</v>
      </c>
      <c r="G400" s="118">
        <v>0.6</v>
      </c>
      <c r="H400" s="118"/>
      <c r="I400" s="1"/>
      <c r="J400" s="1"/>
      <c r="K400" s="1"/>
      <c r="L400" s="1"/>
      <c r="M400" s="1"/>
      <c r="N400" s="1"/>
      <c r="O400" s="249"/>
    </row>
    <row r="401" spans="1:15" ht="12" customHeight="1">
      <c r="A401" s="303"/>
      <c r="B401" s="304"/>
      <c r="C401" s="26" t="s">
        <v>585</v>
      </c>
      <c r="D401" s="12" t="s">
        <v>98</v>
      </c>
      <c r="E401" s="118">
        <f>+F401+H401</f>
        <v>4.8</v>
      </c>
      <c r="F401" s="118">
        <v>4.8</v>
      </c>
      <c r="G401" s="118">
        <v>3.6</v>
      </c>
      <c r="H401" s="118"/>
      <c r="I401" s="1"/>
      <c r="J401" s="1"/>
      <c r="K401" s="1"/>
      <c r="L401" s="1"/>
      <c r="M401" s="1"/>
      <c r="N401" s="1"/>
      <c r="O401" s="249"/>
    </row>
    <row r="402" spans="1:15" ht="24.75" customHeight="1">
      <c r="A402" s="303">
        <v>120</v>
      </c>
      <c r="B402" s="304"/>
      <c r="C402" s="81" t="s">
        <v>9</v>
      </c>
      <c r="D402" s="330" t="s">
        <v>339</v>
      </c>
      <c r="E402" s="118">
        <f t="shared" si="14"/>
        <v>75.4</v>
      </c>
      <c r="F402" s="118">
        <f>72.3+F403-0.8+3.2</f>
        <v>75.4</v>
      </c>
      <c r="G402" s="118">
        <f>39.7+G403-0.1+1.5</f>
        <v>41.6</v>
      </c>
      <c r="H402" s="118"/>
      <c r="I402" s="1"/>
      <c r="J402" s="1"/>
      <c r="K402" s="1"/>
      <c r="L402" s="1"/>
      <c r="M402" s="1"/>
      <c r="N402" s="1"/>
      <c r="O402" s="249"/>
    </row>
    <row r="403" spans="1:15" ht="24.75" customHeight="1">
      <c r="A403" s="303"/>
      <c r="B403" s="304"/>
      <c r="C403" s="243" t="s">
        <v>609</v>
      </c>
      <c r="D403" s="330"/>
      <c r="E403" s="118">
        <f t="shared" si="14"/>
        <v>0.7</v>
      </c>
      <c r="F403" s="118">
        <v>0.7</v>
      </c>
      <c r="G403" s="118">
        <v>0.5</v>
      </c>
      <c r="H403" s="118"/>
      <c r="I403" s="1"/>
      <c r="J403" s="1"/>
      <c r="K403" s="1"/>
      <c r="L403" s="1"/>
      <c r="M403" s="1"/>
      <c r="N403" s="1"/>
      <c r="O403" s="249"/>
    </row>
    <row r="404" spans="1:15" ht="15" customHeight="1">
      <c r="A404" s="303"/>
      <c r="B404" s="304"/>
      <c r="C404" s="26" t="s">
        <v>303</v>
      </c>
      <c r="D404" s="12" t="s">
        <v>98</v>
      </c>
      <c r="E404" s="118">
        <f>+F404+H404</f>
        <v>8.3</v>
      </c>
      <c r="F404" s="118">
        <v>8.3</v>
      </c>
      <c r="G404" s="118">
        <v>6.3</v>
      </c>
      <c r="H404" s="118"/>
      <c r="I404" s="1"/>
      <c r="J404" s="1"/>
      <c r="K404" s="1"/>
      <c r="L404" s="1"/>
      <c r="M404" s="1"/>
      <c r="N404" s="1"/>
      <c r="O404" s="249"/>
    </row>
    <row r="405" spans="1:15" ht="24.75" customHeight="1">
      <c r="A405" s="303">
        <v>121</v>
      </c>
      <c r="B405" s="304"/>
      <c r="C405" s="91" t="s">
        <v>10</v>
      </c>
      <c r="D405" s="330" t="s">
        <v>339</v>
      </c>
      <c r="E405" s="118">
        <f t="shared" si="14"/>
        <v>60.9</v>
      </c>
      <c r="F405" s="118">
        <f>57.1+F406-0.7+3.3</f>
        <v>60.199999999999996</v>
      </c>
      <c r="G405" s="118">
        <f>33.4+G406+2</f>
        <v>35.8</v>
      </c>
      <c r="H405" s="118">
        <v>0.7</v>
      </c>
      <c r="I405" s="1"/>
      <c r="J405" s="1"/>
      <c r="K405" s="1"/>
      <c r="L405" s="1"/>
      <c r="M405" s="1"/>
      <c r="N405" s="1"/>
      <c r="O405" s="249"/>
    </row>
    <row r="406" spans="1:15" ht="24.75" customHeight="1">
      <c r="A406" s="303"/>
      <c r="B406" s="304"/>
      <c r="C406" s="243" t="s">
        <v>609</v>
      </c>
      <c r="D406" s="330"/>
      <c r="E406" s="118">
        <f t="shared" si="14"/>
        <v>0.5</v>
      </c>
      <c r="F406" s="118">
        <v>0.5</v>
      </c>
      <c r="G406" s="118">
        <v>0.4</v>
      </c>
      <c r="H406" s="118"/>
      <c r="I406" s="1"/>
      <c r="J406" s="1"/>
      <c r="K406" s="1"/>
      <c r="L406" s="1"/>
      <c r="M406" s="1"/>
      <c r="N406" s="1"/>
      <c r="O406" s="249"/>
    </row>
    <row r="407" spans="1:15" ht="12" customHeight="1">
      <c r="A407" s="303"/>
      <c r="B407" s="304"/>
      <c r="C407" s="26" t="s">
        <v>303</v>
      </c>
      <c r="D407" s="12" t="s">
        <v>98</v>
      </c>
      <c r="E407" s="118">
        <f>+F407+H407</f>
        <v>3.9</v>
      </c>
      <c r="F407" s="118">
        <v>3.9</v>
      </c>
      <c r="G407" s="118">
        <v>2.9</v>
      </c>
      <c r="H407" s="118"/>
      <c r="I407" s="1"/>
      <c r="J407" s="1"/>
      <c r="K407" s="1"/>
      <c r="L407" s="1"/>
      <c r="M407" s="1"/>
      <c r="N407" s="1"/>
      <c r="O407" s="249"/>
    </row>
    <row r="408" spans="1:15" ht="24.75" customHeight="1">
      <c r="A408" s="303">
        <v>122</v>
      </c>
      <c r="B408" s="304"/>
      <c r="C408" s="81" t="s">
        <v>12</v>
      </c>
      <c r="D408" s="330" t="s">
        <v>339</v>
      </c>
      <c r="E408" s="118">
        <f>+F408+H408</f>
        <v>68.89999999999999</v>
      </c>
      <c r="F408" s="118">
        <f>61.4+F409+0.6+1.3+4.6</f>
        <v>68.89999999999999</v>
      </c>
      <c r="G408" s="118">
        <f>38.9+G409+1.1+2.2</f>
        <v>43</v>
      </c>
      <c r="H408" s="118"/>
      <c r="I408" s="1"/>
      <c r="J408" s="1"/>
      <c r="K408" s="1"/>
      <c r="L408" s="1"/>
      <c r="M408" s="1"/>
      <c r="N408" s="1"/>
      <c r="O408" s="249"/>
    </row>
    <row r="409" spans="1:15" ht="24.75" customHeight="1">
      <c r="A409" s="303"/>
      <c r="B409" s="304"/>
      <c r="C409" s="243" t="s">
        <v>609</v>
      </c>
      <c r="D409" s="330"/>
      <c r="E409" s="118">
        <f>+F409+H409</f>
        <v>1</v>
      </c>
      <c r="F409" s="118">
        <f>0.8+0.2</f>
        <v>1</v>
      </c>
      <c r="G409" s="118">
        <f>0.7+0.1</f>
        <v>0.7999999999999999</v>
      </c>
      <c r="H409" s="118"/>
      <c r="I409" s="1"/>
      <c r="J409" s="1"/>
      <c r="K409" s="1"/>
      <c r="L409" s="1"/>
      <c r="M409" s="1"/>
      <c r="N409" s="1"/>
      <c r="O409" s="249"/>
    </row>
    <row r="410" spans="1:15" ht="12" customHeight="1">
      <c r="A410" s="303"/>
      <c r="B410" s="304"/>
      <c r="C410" s="26" t="s">
        <v>303</v>
      </c>
      <c r="D410" s="12" t="s">
        <v>98</v>
      </c>
      <c r="E410" s="118">
        <f>+F410+H410</f>
        <v>3.3</v>
      </c>
      <c r="F410" s="118">
        <v>3.3</v>
      </c>
      <c r="G410" s="118">
        <v>2.4</v>
      </c>
      <c r="H410" s="118"/>
      <c r="I410" s="1"/>
      <c r="J410" s="1"/>
      <c r="K410" s="1"/>
      <c r="L410" s="1"/>
      <c r="M410" s="1"/>
      <c r="N410" s="1"/>
      <c r="O410" s="249"/>
    </row>
    <row r="411" spans="1:15" ht="24.75" customHeight="1">
      <c r="A411" s="303">
        <v>123</v>
      </c>
      <c r="B411" s="304"/>
      <c r="C411" s="81" t="s">
        <v>320</v>
      </c>
      <c r="D411" s="330" t="s">
        <v>339</v>
      </c>
      <c r="E411" s="118">
        <f t="shared" si="14"/>
        <v>91.50000000000001</v>
      </c>
      <c r="F411" s="118">
        <f>82.7+F412+1.7+5.9</f>
        <v>91.50000000000001</v>
      </c>
      <c r="G411" s="118">
        <f>45.9+G412+3.5</f>
        <v>50.4</v>
      </c>
      <c r="H411" s="118"/>
      <c r="I411" s="1"/>
      <c r="J411" s="1"/>
      <c r="K411" s="1"/>
      <c r="L411" s="1"/>
      <c r="M411" s="1"/>
      <c r="N411" s="1"/>
      <c r="O411" s="249"/>
    </row>
    <row r="412" spans="1:15" ht="24.75" customHeight="1">
      <c r="A412" s="303"/>
      <c r="B412" s="304"/>
      <c r="C412" s="243" t="s">
        <v>609</v>
      </c>
      <c r="D412" s="330"/>
      <c r="E412" s="118">
        <f t="shared" si="14"/>
        <v>1.2</v>
      </c>
      <c r="F412" s="118">
        <v>1.2</v>
      </c>
      <c r="G412" s="118">
        <v>1</v>
      </c>
      <c r="H412" s="118"/>
      <c r="I412" s="1"/>
      <c r="J412" s="1"/>
      <c r="K412" s="1"/>
      <c r="L412" s="1"/>
      <c r="M412" s="1"/>
      <c r="N412" s="1"/>
      <c r="O412" s="249"/>
    </row>
    <row r="413" spans="1:15" ht="12" customHeight="1">
      <c r="A413" s="303"/>
      <c r="B413" s="304"/>
      <c r="C413" s="26" t="s">
        <v>303</v>
      </c>
      <c r="D413" s="12" t="s">
        <v>98</v>
      </c>
      <c r="E413" s="118">
        <f>+F413+H413</f>
        <v>4.3</v>
      </c>
      <c r="F413" s="118">
        <v>4.3</v>
      </c>
      <c r="G413" s="118">
        <v>3.2</v>
      </c>
      <c r="H413" s="118"/>
      <c r="I413" s="1"/>
      <c r="J413" s="1"/>
      <c r="K413" s="1"/>
      <c r="L413" s="1"/>
      <c r="M413" s="1"/>
      <c r="N413" s="1"/>
      <c r="O413" s="249"/>
    </row>
    <row r="414" spans="1:15" ht="24.75" customHeight="1">
      <c r="A414" s="303">
        <v>124</v>
      </c>
      <c r="B414" s="304"/>
      <c r="C414" s="81" t="s">
        <v>13</v>
      </c>
      <c r="D414" s="330" t="s">
        <v>339</v>
      </c>
      <c r="E414" s="118">
        <f t="shared" si="14"/>
        <v>69</v>
      </c>
      <c r="F414" s="118">
        <f>63.5+F415+4.7</f>
        <v>69</v>
      </c>
      <c r="G414" s="118">
        <f>38.5+G415+1.4</f>
        <v>40.5</v>
      </c>
      <c r="H414" s="118"/>
      <c r="I414" s="1"/>
      <c r="J414" s="1"/>
      <c r="K414" s="1"/>
      <c r="L414" s="1"/>
      <c r="M414" s="1"/>
      <c r="N414" s="1"/>
      <c r="O414" s="249"/>
    </row>
    <row r="415" spans="1:15" ht="24.75" customHeight="1">
      <c r="A415" s="303"/>
      <c r="B415" s="304"/>
      <c r="C415" s="243" t="s">
        <v>609</v>
      </c>
      <c r="D415" s="330"/>
      <c r="E415" s="118">
        <f t="shared" si="14"/>
        <v>0.8</v>
      </c>
      <c r="F415" s="118">
        <v>0.8</v>
      </c>
      <c r="G415" s="118">
        <v>0.6</v>
      </c>
      <c r="H415" s="118"/>
      <c r="I415" s="1"/>
      <c r="J415" s="1"/>
      <c r="K415" s="1"/>
      <c r="L415" s="1"/>
      <c r="M415" s="1"/>
      <c r="N415" s="1"/>
      <c r="O415" s="249"/>
    </row>
    <row r="416" spans="1:15" ht="12" customHeight="1">
      <c r="A416" s="303"/>
      <c r="B416" s="304"/>
      <c r="C416" s="26" t="s">
        <v>303</v>
      </c>
      <c r="D416" s="12" t="s">
        <v>98</v>
      </c>
      <c r="E416" s="118">
        <f t="shared" si="14"/>
        <v>3.5</v>
      </c>
      <c r="F416" s="118">
        <v>3.5</v>
      </c>
      <c r="G416" s="118">
        <v>2.6</v>
      </c>
      <c r="H416" s="118"/>
      <c r="I416" s="1"/>
      <c r="J416" s="1"/>
      <c r="K416" s="1"/>
      <c r="L416" s="1"/>
      <c r="M416" s="1"/>
      <c r="N416" s="1"/>
      <c r="O416" s="249"/>
    </row>
    <row r="417" spans="1:15" ht="24.75" customHeight="1">
      <c r="A417" s="303">
        <v>125</v>
      </c>
      <c r="B417" s="304"/>
      <c r="C417" s="81" t="s">
        <v>14</v>
      </c>
      <c r="D417" s="330" t="s">
        <v>339</v>
      </c>
      <c r="E417" s="118">
        <f t="shared" si="14"/>
        <v>84.70000000000002</v>
      </c>
      <c r="F417" s="118">
        <f>81.4+F419+0.4-2.6+2.2</f>
        <v>84.70000000000002</v>
      </c>
      <c r="G417" s="118">
        <f>44.7+G419-2.6</f>
        <v>44.6</v>
      </c>
      <c r="H417" s="118"/>
      <c r="I417" s="1"/>
      <c r="J417" s="1"/>
      <c r="K417" s="1"/>
      <c r="L417" s="1"/>
      <c r="M417" s="1"/>
      <c r="N417" s="1"/>
      <c r="O417" s="249"/>
    </row>
    <row r="418" spans="1:15" ht="12" customHeight="1">
      <c r="A418" s="303"/>
      <c r="B418" s="304"/>
      <c r="C418" s="263" t="s">
        <v>584</v>
      </c>
      <c r="D418" s="330"/>
      <c r="E418" s="118">
        <f t="shared" si="14"/>
        <v>0.1</v>
      </c>
      <c r="F418" s="118">
        <v>0.1</v>
      </c>
      <c r="G418" s="118">
        <v>0.1</v>
      </c>
      <c r="H418" s="118"/>
      <c r="I418" s="1"/>
      <c r="J418" s="1"/>
      <c r="K418" s="1"/>
      <c r="L418" s="1"/>
      <c r="M418" s="1"/>
      <c r="N418" s="1"/>
      <c r="O418" s="249"/>
    </row>
    <row r="419" spans="1:15" ht="22.5" customHeight="1">
      <c r="A419" s="303"/>
      <c r="B419" s="304"/>
      <c r="C419" s="243" t="s">
        <v>609</v>
      </c>
      <c r="D419" s="330"/>
      <c r="E419" s="118">
        <f t="shared" si="14"/>
        <v>3.3</v>
      </c>
      <c r="F419" s="118">
        <v>3.3</v>
      </c>
      <c r="G419" s="118">
        <v>2.5</v>
      </c>
      <c r="H419" s="118"/>
      <c r="I419" s="1"/>
      <c r="J419" s="1"/>
      <c r="K419" s="1"/>
      <c r="L419" s="1"/>
      <c r="M419" s="1"/>
      <c r="N419" s="1"/>
      <c r="O419" s="249"/>
    </row>
    <row r="420" spans="1:15" ht="12" customHeight="1">
      <c r="A420" s="303"/>
      <c r="B420" s="304"/>
      <c r="C420" s="26" t="s">
        <v>585</v>
      </c>
      <c r="D420" s="12" t="s">
        <v>98</v>
      </c>
      <c r="E420" s="118">
        <f>+F420+H420</f>
        <v>5.2</v>
      </c>
      <c r="F420" s="118">
        <v>5.2</v>
      </c>
      <c r="G420" s="118">
        <v>4</v>
      </c>
      <c r="H420" s="118"/>
      <c r="I420" s="1"/>
      <c r="J420" s="1"/>
      <c r="K420" s="1"/>
      <c r="L420" s="1"/>
      <c r="M420" s="1"/>
      <c r="N420" s="1"/>
      <c r="O420" s="249"/>
    </row>
    <row r="421" spans="1:15" ht="19.5" customHeight="1">
      <c r="A421" s="70">
        <v>126</v>
      </c>
      <c r="B421" s="10"/>
      <c r="C421" s="264" t="s">
        <v>22</v>
      </c>
      <c r="D421" s="10"/>
      <c r="E421" s="138">
        <f>+F421+H421</f>
        <v>26268</v>
      </c>
      <c r="F421" s="138">
        <f>+F11+F126+F152+F198+F225+F254+F279+F331+F360+F365+F370</f>
        <v>23634</v>
      </c>
      <c r="G421" s="138">
        <f>+G11+G126+G152+G198+G225+G254+G279+G331+G360+G365+G370</f>
        <v>9581.300000000001</v>
      </c>
      <c r="H421" s="138">
        <f>+H11+H126+H152+H198+H225+H254+H279+H331+H360+H365+H370</f>
        <v>2634.0000000000005</v>
      </c>
      <c r="I421" s="1"/>
      <c r="J421" s="1"/>
      <c r="K421" s="1"/>
      <c r="L421" s="1"/>
      <c r="M421" s="1"/>
      <c r="N421" s="1"/>
      <c r="O421" s="1"/>
    </row>
    <row r="422" spans="1:14" ht="12.75">
      <c r="A422" s="265"/>
      <c r="C422" s="21" t="s">
        <v>278</v>
      </c>
      <c r="D422" s="62"/>
      <c r="E422" s="30"/>
      <c r="F422" s="30"/>
      <c r="G422" s="1"/>
      <c r="H422" s="1"/>
      <c r="I422" s="1"/>
      <c r="K422" s="193"/>
      <c r="L422" s="1"/>
      <c r="M422" s="1"/>
      <c r="N422" s="1"/>
    </row>
    <row r="423" spans="1:14" ht="12.75">
      <c r="A423" s="265"/>
      <c r="C423" s="21"/>
      <c r="D423" s="27"/>
      <c r="E423" s="266"/>
      <c r="F423" s="266"/>
      <c r="G423" s="170"/>
      <c r="H423" s="170"/>
      <c r="I423" s="2"/>
      <c r="L423" s="1"/>
      <c r="M423" s="1"/>
      <c r="N423" s="1"/>
    </row>
    <row r="424" spans="5:10" ht="12.75">
      <c r="E424" s="266"/>
      <c r="F424" s="1"/>
      <c r="G424" s="1"/>
      <c r="H424" s="1"/>
      <c r="I424" s="1"/>
      <c r="J424" s="1"/>
    </row>
    <row r="425" spans="4:8" ht="12.75">
      <c r="D425" s="106"/>
      <c r="E425" s="1"/>
      <c r="F425" s="1"/>
      <c r="G425" s="1"/>
      <c r="H425" s="1"/>
    </row>
    <row r="426" spans="4:7" ht="12.75">
      <c r="D426" s="106"/>
      <c r="E426" s="1"/>
      <c r="F426" s="1"/>
      <c r="G426" s="1"/>
    </row>
    <row r="427" spans="3:8" ht="12.75">
      <c r="C427" s="5"/>
      <c r="D427" s="6"/>
      <c r="E427" s="1"/>
      <c r="F427" s="1"/>
      <c r="G427" s="1"/>
      <c r="H427" s="1"/>
    </row>
    <row r="428" spans="3:8" ht="12.75">
      <c r="C428" s="267"/>
      <c r="D428" s="6"/>
      <c r="E428" s="1"/>
      <c r="F428" s="1"/>
      <c r="G428" s="1"/>
      <c r="H428" s="1"/>
    </row>
    <row r="429" spans="3:7" ht="12.75">
      <c r="C429" s="268"/>
      <c r="D429" s="6"/>
      <c r="E429" s="1"/>
      <c r="F429" s="1"/>
      <c r="G429" s="1"/>
    </row>
    <row r="430" spans="3:7" ht="12.75">
      <c r="C430" s="6"/>
      <c r="D430" s="6"/>
      <c r="E430" s="1"/>
      <c r="F430" s="1"/>
      <c r="G430" s="1"/>
    </row>
    <row r="431" spans="3:7" ht="12.75">
      <c r="C431" s="6"/>
      <c r="D431" s="6"/>
      <c r="E431" s="1"/>
      <c r="F431" s="1"/>
      <c r="G431" s="1"/>
    </row>
    <row r="432" spans="5:8" ht="12.75">
      <c r="E432" s="30"/>
      <c r="F432" s="30"/>
      <c r="G432" s="30"/>
      <c r="H432" s="30"/>
    </row>
    <row r="433" spans="5:8" ht="12.75">
      <c r="E433" s="1"/>
      <c r="F433" s="1"/>
      <c r="G433" s="1"/>
      <c r="H433" s="1"/>
    </row>
    <row r="434" spans="5:6" ht="12.75">
      <c r="E434" s="1"/>
      <c r="F434" s="193"/>
    </row>
    <row r="435" spans="5:9" ht="12.75">
      <c r="E435" s="1"/>
      <c r="F435" s="1"/>
      <c r="G435" s="1"/>
      <c r="H435" s="1"/>
      <c r="I435" s="67"/>
    </row>
  </sheetData>
  <sheetProtection/>
  <mergeCells count="233">
    <mergeCell ref="D167:D168"/>
    <mergeCell ref="D398:D400"/>
    <mergeCell ref="A405:A407"/>
    <mergeCell ref="B405:B407"/>
    <mergeCell ref="D405:D406"/>
    <mergeCell ref="A398:A401"/>
    <mergeCell ref="B398:B401"/>
    <mergeCell ref="A402:A404"/>
    <mergeCell ref="B402:B404"/>
    <mergeCell ref="D402:D403"/>
    <mergeCell ref="A417:A420"/>
    <mergeCell ref="B417:B420"/>
    <mergeCell ref="D417:D419"/>
    <mergeCell ref="A414:A416"/>
    <mergeCell ref="B414:B416"/>
    <mergeCell ref="D408:D409"/>
    <mergeCell ref="D411:D412"/>
    <mergeCell ref="D414:D415"/>
    <mergeCell ref="A411:A413"/>
    <mergeCell ref="B411:B413"/>
    <mergeCell ref="A395:A397"/>
    <mergeCell ref="D395:D396"/>
    <mergeCell ref="A386:A388"/>
    <mergeCell ref="B386:B388"/>
    <mergeCell ref="D386:D387"/>
    <mergeCell ref="A389:A391"/>
    <mergeCell ref="B389:B391"/>
    <mergeCell ref="D389:D390"/>
    <mergeCell ref="D392:D393"/>
    <mergeCell ref="B392:B394"/>
    <mergeCell ref="B358:B359"/>
    <mergeCell ref="A371:A372"/>
    <mergeCell ref="B371:B372"/>
    <mergeCell ref="D371:D372"/>
    <mergeCell ref="A373:A374"/>
    <mergeCell ref="B373:B374"/>
    <mergeCell ref="D373:D374"/>
    <mergeCell ref="A358:A359"/>
    <mergeCell ref="A344:A345"/>
    <mergeCell ref="B344:B345"/>
    <mergeCell ref="D344:D345"/>
    <mergeCell ref="A351:A352"/>
    <mergeCell ref="B351:B352"/>
    <mergeCell ref="D351:D352"/>
    <mergeCell ref="D348:D349"/>
    <mergeCell ref="A348:A349"/>
    <mergeCell ref="B346:B347"/>
    <mergeCell ref="B348:B349"/>
    <mergeCell ref="A340:A341"/>
    <mergeCell ref="B340:B341"/>
    <mergeCell ref="D340:D341"/>
    <mergeCell ref="A342:A343"/>
    <mergeCell ref="B342:B343"/>
    <mergeCell ref="D342:D343"/>
    <mergeCell ref="A238:A239"/>
    <mergeCell ref="B238:B239"/>
    <mergeCell ref="D238:D239"/>
    <mergeCell ref="A240:A241"/>
    <mergeCell ref="B240:B241"/>
    <mergeCell ref="D240:D241"/>
    <mergeCell ref="A234:A235"/>
    <mergeCell ref="B234:B235"/>
    <mergeCell ref="D234:D235"/>
    <mergeCell ref="A236:A237"/>
    <mergeCell ref="B236:B237"/>
    <mergeCell ref="D236:D237"/>
    <mergeCell ref="A230:A231"/>
    <mergeCell ref="B230:B231"/>
    <mergeCell ref="D230:D231"/>
    <mergeCell ref="A232:A233"/>
    <mergeCell ref="B232:B233"/>
    <mergeCell ref="D232:D233"/>
    <mergeCell ref="A226:A227"/>
    <mergeCell ref="B226:B227"/>
    <mergeCell ref="D226:D227"/>
    <mergeCell ref="A228:A229"/>
    <mergeCell ref="B228:B229"/>
    <mergeCell ref="D228:D229"/>
    <mergeCell ref="A220:A221"/>
    <mergeCell ref="B220:B221"/>
    <mergeCell ref="D220:D221"/>
    <mergeCell ref="A222:A223"/>
    <mergeCell ref="B222:B223"/>
    <mergeCell ref="D222:D223"/>
    <mergeCell ref="A202:A207"/>
    <mergeCell ref="B202:B207"/>
    <mergeCell ref="D202:D207"/>
    <mergeCell ref="A185:A186"/>
    <mergeCell ref="B185:B186"/>
    <mergeCell ref="A218:A219"/>
    <mergeCell ref="B218:B219"/>
    <mergeCell ref="D218:D219"/>
    <mergeCell ref="D193:D194"/>
    <mergeCell ref="A153:A157"/>
    <mergeCell ref="B153:B157"/>
    <mergeCell ref="D153:D157"/>
    <mergeCell ref="A158:A159"/>
    <mergeCell ref="B158:B159"/>
    <mergeCell ref="D158:D159"/>
    <mergeCell ref="A127:A128"/>
    <mergeCell ref="B127:B128"/>
    <mergeCell ref="D127:D128"/>
    <mergeCell ref="A108:A110"/>
    <mergeCell ref="B108:B110"/>
    <mergeCell ref="D108:D110"/>
    <mergeCell ref="A100:A104"/>
    <mergeCell ref="B100:B104"/>
    <mergeCell ref="D100:D103"/>
    <mergeCell ref="A105:A107"/>
    <mergeCell ref="B105:B107"/>
    <mergeCell ref="D105:D107"/>
    <mergeCell ref="A96:A97"/>
    <mergeCell ref="B96:B97"/>
    <mergeCell ref="D96:D97"/>
    <mergeCell ref="A98:A99"/>
    <mergeCell ref="B98:B99"/>
    <mergeCell ref="D98:D99"/>
    <mergeCell ref="A76:A78"/>
    <mergeCell ref="D76:D78"/>
    <mergeCell ref="B79:B81"/>
    <mergeCell ref="D86:D88"/>
    <mergeCell ref="A92:A93"/>
    <mergeCell ref="B92:B93"/>
    <mergeCell ref="D92:D93"/>
    <mergeCell ref="B89:B91"/>
    <mergeCell ref="A89:A91"/>
    <mergeCell ref="D89:D91"/>
    <mergeCell ref="B66:B68"/>
    <mergeCell ref="D66:D68"/>
    <mergeCell ref="A66:A68"/>
    <mergeCell ref="D59:D61"/>
    <mergeCell ref="A82:A85"/>
    <mergeCell ref="B82:B85"/>
    <mergeCell ref="D82:D85"/>
    <mergeCell ref="D79:D81"/>
    <mergeCell ref="A79:A81"/>
    <mergeCell ref="B76:B78"/>
    <mergeCell ref="A15:A17"/>
    <mergeCell ref="D41:D44"/>
    <mergeCell ref="A12:A14"/>
    <mergeCell ref="B12:B14"/>
    <mergeCell ref="D12:D14"/>
    <mergeCell ref="A27:A30"/>
    <mergeCell ref="B27:B30"/>
    <mergeCell ref="B37:B40"/>
    <mergeCell ref="D27:D30"/>
    <mergeCell ref="D34:D36"/>
    <mergeCell ref="B7:B9"/>
    <mergeCell ref="C7:C9"/>
    <mergeCell ref="B15:B17"/>
    <mergeCell ref="D7:D9"/>
    <mergeCell ref="E7:E9"/>
    <mergeCell ref="D15:D17"/>
    <mergeCell ref="D18:D20"/>
    <mergeCell ref="A21:A23"/>
    <mergeCell ref="B21:B23"/>
    <mergeCell ref="D72:D75"/>
    <mergeCell ref="A72:A75"/>
    <mergeCell ref="A37:A40"/>
    <mergeCell ref="A18:A20"/>
    <mergeCell ref="B72:B75"/>
    <mergeCell ref="B18:B20"/>
    <mergeCell ref="A59:A61"/>
    <mergeCell ref="A354:A355"/>
    <mergeCell ref="D346:D347"/>
    <mergeCell ref="A346:A347"/>
    <mergeCell ref="A356:A357"/>
    <mergeCell ref="B356:B357"/>
    <mergeCell ref="A86:A88"/>
    <mergeCell ref="B86:B88"/>
    <mergeCell ref="A94:A95"/>
    <mergeCell ref="B94:B95"/>
    <mergeCell ref="D94:D95"/>
    <mergeCell ref="A164:A165"/>
    <mergeCell ref="B164:B165"/>
    <mergeCell ref="D164:D165"/>
    <mergeCell ref="A377:A378"/>
    <mergeCell ref="B377:B378"/>
    <mergeCell ref="D377:D378"/>
    <mergeCell ref="D185:D186"/>
    <mergeCell ref="A193:A194"/>
    <mergeCell ref="B193:B194"/>
    <mergeCell ref="B354:B355"/>
    <mergeCell ref="B162:B163"/>
    <mergeCell ref="D162:D163"/>
    <mergeCell ref="B53:B55"/>
    <mergeCell ref="D53:D55"/>
    <mergeCell ref="A62:A65"/>
    <mergeCell ref="B62:B65"/>
    <mergeCell ref="D69:D71"/>
    <mergeCell ref="D62:D65"/>
    <mergeCell ref="B59:B61"/>
    <mergeCell ref="B56:B58"/>
    <mergeCell ref="B395:B397"/>
    <mergeCell ref="B69:B71"/>
    <mergeCell ref="D160:D161"/>
    <mergeCell ref="D45:D48"/>
    <mergeCell ref="A49:A52"/>
    <mergeCell ref="B49:B52"/>
    <mergeCell ref="D49:D52"/>
    <mergeCell ref="A45:A48"/>
    <mergeCell ref="B45:B48"/>
    <mergeCell ref="A162:A163"/>
    <mergeCell ref="F8:G8"/>
    <mergeCell ref="H8:H9"/>
    <mergeCell ref="B160:B161"/>
    <mergeCell ref="A408:A410"/>
    <mergeCell ref="B408:B410"/>
    <mergeCell ref="D31:D33"/>
    <mergeCell ref="A160:A161"/>
    <mergeCell ref="B34:B36"/>
    <mergeCell ref="A69:A71"/>
    <mergeCell ref="A392:A394"/>
    <mergeCell ref="A24:A26"/>
    <mergeCell ref="D37:D40"/>
    <mergeCell ref="A41:A44"/>
    <mergeCell ref="B41:B44"/>
    <mergeCell ref="D56:D58"/>
    <mergeCell ref="A56:A58"/>
    <mergeCell ref="A34:A36"/>
    <mergeCell ref="A53:A55"/>
    <mergeCell ref="B24:B26"/>
    <mergeCell ref="A31:A33"/>
    <mergeCell ref="C1:H1"/>
    <mergeCell ref="C2:H2"/>
    <mergeCell ref="D21:D23"/>
    <mergeCell ref="D24:D26"/>
    <mergeCell ref="B31:B33"/>
    <mergeCell ref="E3:H3"/>
    <mergeCell ref="A5:H5"/>
    <mergeCell ref="G6:H6"/>
    <mergeCell ref="A7:A9"/>
    <mergeCell ref="F7:H7"/>
  </mergeCells>
  <printOptions/>
  <pageMargins left="0.11811023622047245" right="0" top="0.5905511811023623"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5"/>
  <sheetViews>
    <sheetView zoomScalePageLayoutView="0" workbookViewId="0" topLeftCell="A1">
      <selection activeCell="F48" sqref="F48"/>
    </sheetView>
  </sheetViews>
  <sheetFormatPr defaultColWidth="9.140625" defaultRowHeight="12.75"/>
  <cols>
    <col min="1" max="1" width="4.28125" style="2" customWidth="1"/>
    <col min="2" max="2" width="5.7109375" style="2" customWidth="1"/>
    <col min="3" max="3" width="51.7109375" style="2" customWidth="1"/>
    <col min="4" max="4" width="10.28125" style="6" customWidth="1"/>
    <col min="5" max="5" width="7.140625" style="2" customWidth="1"/>
    <col min="6" max="6" width="6.7109375" style="2" customWidth="1"/>
    <col min="7" max="7" width="8.28125" style="2" customWidth="1"/>
    <col min="8" max="8" width="7.00390625" style="2" customWidth="1"/>
    <col min="9" max="9" width="9.00390625" style="2" customWidth="1"/>
    <col min="10" max="10" width="7.00390625" style="2" customWidth="1"/>
    <col min="11" max="11" width="9.140625" style="2" customWidth="1"/>
    <col min="12" max="16384" width="9.140625" style="2" customWidth="1"/>
  </cols>
  <sheetData>
    <row r="1" spans="3:8" ht="15" customHeight="1">
      <c r="C1" s="291" t="s">
        <v>333</v>
      </c>
      <c r="D1" s="291"/>
      <c r="E1" s="291"/>
      <c r="F1" s="291"/>
      <c r="G1" s="291"/>
      <c r="H1" s="291"/>
    </row>
    <row r="2" spans="3:8" ht="15.75">
      <c r="C2" s="291" t="s">
        <v>925</v>
      </c>
      <c r="D2" s="291"/>
      <c r="E2" s="291"/>
      <c r="F2" s="291"/>
      <c r="G2" s="291"/>
      <c r="H2" s="291"/>
    </row>
    <row r="3" spans="3:8" ht="15.75">
      <c r="C3" s="72"/>
      <c r="D3" s="31"/>
      <c r="E3" s="72"/>
      <c r="F3" s="72"/>
      <c r="G3" s="297" t="s">
        <v>306</v>
      </c>
      <c r="H3" s="297"/>
    </row>
    <row r="4" spans="1:8" ht="14.25" customHeight="1">
      <c r="A4" s="313" t="s">
        <v>425</v>
      </c>
      <c r="B4" s="313"/>
      <c r="C4" s="313"/>
      <c r="D4" s="313"/>
      <c r="E4" s="313"/>
      <c r="F4" s="313"/>
      <c r="G4" s="313"/>
      <c r="H4" s="313"/>
    </row>
    <row r="5" ht="12.75">
      <c r="H5" s="6" t="s">
        <v>396</v>
      </c>
    </row>
    <row r="6" spans="1:8" ht="12.75">
      <c r="A6" s="300" t="s">
        <v>0</v>
      </c>
      <c r="B6" s="300" t="s">
        <v>32</v>
      </c>
      <c r="C6" s="300" t="s">
        <v>16</v>
      </c>
      <c r="D6" s="300" t="s">
        <v>131</v>
      </c>
      <c r="E6" s="300" t="s">
        <v>17</v>
      </c>
      <c r="F6" s="300" t="s">
        <v>18</v>
      </c>
      <c r="G6" s="300"/>
      <c r="H6" s="300"/>
    </row>
    <row r="7" spans="1:8" ht="12.75">
      <c r="A7" s="300"/>
      <c r="B7" s="300"/>
      <c r="C7" s="300"/>
      <c r="D7" s="300"/>
      <c r="E7" s="300"/>
      <c r="F7" s="300" t="s">
        <v>190</v>
      </c>
      <c r="G7" s="300"/>
      <c r="H7" s="300" t="s">
        <v>33</v>
      </c>
    </row>
    <row r="8" spans="1:8" ht="51" customHeight="1">
      <c r="A8" s="300"/>
      <c r="B8" s="300"/>
      <c r="C8" s="300"/>
      <c r="D8" s="300"/>
      <c r="E8" s="300"/>
      <c r="F8" s="7" t="s">
        <v>34</v>
      </c>
      <c r="G8" s="7" t="s">
        <v>35</v>
      </c>
      <c r="H8" s="300"/>
    </row>
    <row r="9" spans="1:8" s="15" customFormat="1" ht="12" customHeight="1">
      <c r="A9" s="7">
        <v>1</v>
      </c>
      <c r="B9" s="7">
        <v>2</v>
      </c>
      <c r="C9" s="7">
        <v>3</v>
      </c>
      <c r="D9" s="7">
        <v>4</v>
      </c>
      <c r="E9" s="7">
        <v>5</v>
      </c>
      <c r="F9" s="7">
        <v>6</v>
      </c>
      <c r="G9" s="7">
        <v>7</v>
      </c>
      <c r="H9" s="7">
        <v>8</v>
      </c>
    </row>
    <row r="10" spans="1:12" ht="19.5" customHeight="1">
      <c r="A10" s="70">
        <v>1</v>
      </c>
      <c r="B10" s="8" t="s">
        <v>134</v>
      </c>
      <c r="C10" s="65" t="s">
        <v>135</v>
      </c>
      <c r="D10" s="240"/>
      <c r="E10" s="136">
        <f aca="true" t="shared" si="0" ref="E10:E15">+F10+H10</f>
        <v>66.4</v>
      </c>
      <c r="F10" s="136">
        <f>SUM(F11:F37)</f>
        <v>59.900000000000006</v>
      </c>
      <c r="G10" s="136">
        <f>SUM(G11:G36)</f>
        <v>0</v>
      </c>
      <c r="H10" s="136">
        <f>SUM(H11:H36)</f>
        <v>6.5</v>
      </c>
      <c r="I10" s="1"/>
      <c r="J10" s="1"/>
      <c r="K10" s="1"/>
      <c r="L10" s="1"/>
    </row>
    <row r="11" spans="1:12" ht="12" customHeight="1">
      <c r="A11" s="70">
        <v>2</v>
      </c>
      <c r="B11" s="8"/>
      <c r="C11" s="40" t="s">
        <v>246</v>
      </c>
      <c r="D11" s="10" t="s">
        <v>136</v>
      </c>
      <c r="E11" s="135">
        <f t="shared" si="0"/>
        <v>1</v>
      </c>
      <c r="F11" s="135">
        <v>1</v>
      </c>
      <c r="G11" s="138"/>
      <c r="H11" s="138"/>
      <c r="I11" s="1"/>
      <c r="J11" s="1"/>
      <c r="K11" s="1"/>
      <c r="L11" s="1"/>
    </row>
    <row r="12" spans="1:12" ht="12" customHeight="1">
      <c r="A12" s="70">
        <v>3</v>
      </c>
      <c r="B12" s="8"/>
      <c r="C12" s="40" t="s">
        <v>125</v>
      </c>
      <c r="D12" s="10" t="s">
        <v>136</v>
      </c>
      <c r="E12" s="135">
        <f t="shared" si="0"/>
        <v>1</v>
      </c>
      <c r="F12" s="135">
        <v>1</v>
      </c>
      <c r="G12" s="138"/>
      <c r="H12" s="138"/>
      <c r="I12" s="1"/>
      <c r="J12" s="1"/>
      <c r="K12" s="1"/>
      <c r="L12" s="1"/>
    </row>
    <row r="13" spans="1:12" ht="12" customHeight="1">
      <c r="A13" s="70">
        <v>4</v>
      </c>
      <c r="B13" s="92"/>
      <c r="C13" s="40" t="s">
        <v>910</v>
      </c>
      <c r="D13" s="10" t="s">
        <v>137</v>
      </c>
      <c r="E13" s="135">
        <f t="shared" si="0"/>
        <v>1.3</v>
      </c>
      <c r="F13" s="135">
        <v>1.3</v>
      </c>
      <c r="G13" s="135"/>
      <c r="H13" s="135"/>
      <c r="I13" s="1"/>
      <c r="J13" s="1"/>
      <c r="K13" s="1"/>
      <c r="L13" s="1"/>
    </row>
    <row r="14" spans="1:12" ht="12" customHeight="1">
      <c r="A14" s="70">
        <v>5</v>
      </c>
      <c r="B14" s="92"/>
      <c r="C14" s="40" t="s">
        <v>911</v>
      </c>
      <c r="D14" s="10" t="s">
        <v>137</v>
      </c>
      <c r="E14" s="135">
        <f t="shared" si="0"/>
        <v>2.2</v>
      </c>
      <c r="F14" s="135">
        <f>2.2</f>
        <v>2.2</v>
      </c>
      <c r="G14" s="135"/>
      <c r="H14" s="135"/>
      <c r="I14" s="1"/>
      <c r="J14" s="1"/>
      <c r="K14" s="1"/>
      <c r="L14" s="1"/>
    </row>
    <row r="15" spans="1:12" ht="12" customHeight="1">
      <c r="A15" s="70">
        <v>6</v>
      </c>
      <c r="B15" s="92"/>
      <c r="C15" s="40" t="s">
        <v>103</v>
      </c>
      <c r="D15" s="10" t="s">
        <v>136</v>
      </c>
      <c r="E15" s="135">
        <f t="shared" si="0"/>
        <v>1</v>
      </c>
      <c r="F15" s="135">
        <f>1</f>
        <v>1</v>
      </c>
      <c r="G15" s="138"/>
      <c r="H15" s="138"/>
      <c r="I15" s="1"/>
      <c r="J15" s="1"/>
      <c r="K15" s="1"/>
      <c r="L15" s="1"/>
    </row>
    <row r="16" spans="1:12" ht="12" customHeight="1">
      <c r="A16" s="70">
        <v>7</v>
      </c>
      <c r="B16" s="18"/>
      <c r="C16" s="40" t="s">
        <v>104</v>
      </c>
      <c r="D16" s="10" t="s">
        <v>136</v>
      </c>
      <c r="E16" s="135">
        <f aca="true" t="shared" si="1" ref="E16:E59">+F16+H16</f>
        <v>1.4</v>
      </c>
      <c r="F16" s="135">
        <v>1.4</v>
      </c>
      <c r="G16" s="135"/>
      <c r="H16" s="135"/>
      <c r="I16" s="1"/>
      <c r="J16" s="30"/>
      <c r="K16" s="30"/>
      <c r="L16" s="30"/>
    </row>
    <row r="17" spans="1:12" ht="12" customHeight="1">
      <c r="A17" s="70">
        <v>8</v>
      </c>
      <c r="B17" s="18"/>
      <c r="C17" s="40" t="s">
        <v>126</v>
      </c>
      <c r="D17" s="10" t="s">
        <v>136</v>
      </c>
      <c r="E17" s="135">
        <f t="shared" si="1"/>
        <v>1.2</v>
      </c>
      <c r="F17" s="135">
        <v>1.2</v>
      </c>
      <c r="G17" s="135"/>
      <c r="H17" s="135"/>
      <c r="I17" s="1"/>
      <c r="J17" s="30"/>
      <c r="K17" s="30"/>
      <c r="L17" s="30"/>
    </row>
    <row r="18" spans="1:12" ht="12" customHeight="1">
      <c r="A18" s="70">
        <v>9</v>
      </c>
      <c r="B18" s="18"/>
      <c r="C18" s="233" t="s">
        <v>114</v>
      </c>
      <c r="D18" s="10" t="s">
        <v>137</v>
      </c>
      <c r="E18" s="135">
        <f t="shared" si="1"/>
        <v>0.1</v>
      </c>
      <c r="F18" s="135">
        <v>0.1</v>
      </c>
      <c r="G18" s="135"/>
      <c r="H18" s="135"/>
      <c r="I18" s="1"/>
      <c r="J18" s="30"/>
      <c r="K18" s="30"/>
      <c r="L18" s="30"/>
    </row>
    <row r="19" spans="1:12" ht="12" customHeight="1">
      <c r="A19" s="70">
        <v>10</v>
      </c>
      <c r="B19" s="18"/>
      <c r="C19" s="40" t="s">
        <v>106</v>
      </c>
      <c r="D19" s="10" t="s">
        <v>138</v>
      </c>
      <c r="E19" s="135">
        <f>+F19+H19</f>
        <v>7</v>
      </c>
      <c r="F19" s="135">
        <v>5.5</v>
      </c>
      <c r="G19" s="135"/>
      <c r="H19" s="135">
        <v>1.5</v>
      </c>
      <c r="I19" s="1"/>
      <c r="J19" s="30"/>
      <c r="K19" s="30"/>
      <c r="L19" s="30"/>
    </row>
    <row r="20" spans="1:12" ht="12" customHeight="1">
      <c r="A20" s="70">
        <v>11</v>
      </c>
      <c r="B20" s="18"/>
      <c r="C20" s="40" t="s">
        <v>115</v>
      </c>
      <c r="D20" s="10" t="s">
        <v>138</v>
      </c>
      <c r="E20" s="135">
        <f>+F20+H20</f>
        <v>0.20000000000000007</v>
      </c>
      <c r="F20" s="135">
        <f>0.8-0.6</f>
        <v>0.20000000000000007</v>
      </c>
      <c r="G20" s="135"/>
      <c r="H20" s="135"/>
      <c r="I20" s="1"/>
      <c r="J20" s="30"/>
      <c r="K20" s="30"/>
      <c r="L20" s="30"/>
    </row>
    <row r="21" spans="1:12" ht="12" customHeight="1">
      <c r="A21" s="70">
        <v>12</v>
      </c>
      <c r="B21" s="18"/>
      <c r="C21" s="36" t="s">
        <v>414</v>
      </c>
      <c r="D21" s="10" t="s">
        <v>138</v>
      </c>
      <c r="E21" s="135">
        <f>+F21+H21</f>
        <v>1.2</v>
      </c>
      <c r="F21" s="135">
        <f>0.5+0.7</f>
        <v>1.2</v>
      </c>
      <c r="G21" s="135"/>
      <c r="H21" s="135"/>
      <c r="I21" s="1"/>
      <c r="J21" s="30"/>
      <c r="K21" s="30"/>
      <c r="L21" s="30"/>
    </row>
    <row r="22" spans="1:12" ht="12" customHeight="1">
      <c r="A22" s="70">
        <v>13</v>
      </c>
      <c r="B22" s="18"/>
      <c r="C22" s="36" t="s">
        <v>415</v>
      </c>
      <c r="D22" s="10" t="s">
        <v>138</v>
      </c>
      <c r="E22" s="135">
        <f>+F22+H22</f>
        <v>0.2</v>
      </c>
      <c r="F22" s="135">
        <v>0.2</v>
      </c>
      <c r="G22" s="135"/>
      <c r="H22" s="135"/>
      <c r="I22" s="1"/>
      <c r="J22" s="30"/>
      <c r="K22" s="30"/>
      <c r="L22" s="30"/>
    </row>
    <row r="23" spans="1:12" ht="12" customHeight="1">
      <c r="A23" s="70">
        <v>14</v>
      </c>
      <c r="B23" s="18"/>
      <c r="C23" s="36" t="s">
        <v>107</v>
      </c>
      <c r="D23" s="10" t="s">
        <v>138</v>
      </c>
      <c r="E23" s="135">
        <f t="shared" si="1"/>
        <v>0.1</v>
      </c>
      <c r="F23" s="135">
        <f>0.2-0.1</f>
        <v>0.1</v>
      </c>
      <c r="G23" s="135"/>
      <c r="H23" s="135"/>
      <c r="I23" s="1"/>
      <c r="J23" s="30"/>
      <c r="K23" s="30"/>
      <c r="L23" s="30"/>
    </row>
    <row r="24" spans="1:12" ht="12" customHeight="1">
      <c r="A24" s="70">
        <v>15</v>
      </c>
      <c r="B24" s="18"/>
      <c r="C24" s="40" t="s">
        <v>420</v>
      </c>
      <c r="D24" s="10" t="s">
        <v>138</v>
      </c>
      <c r="E24" s="135">
        <f>+F24+H24</f>
        <v>0.3</v>
      </c>
      <c r="F24" s="135">
        <f>0.3</f>
        <v>0.3</v>
      </c>
      <c r="G24" s="135"/>
      <c r="H24" s="135"/>
      <c r="I24" s="1"/>
      <c r="J24" s="30"/>
      <c r="K24" s="30"/>
      <c r="L24" s="30"/>
    </row>
    <row r="25" spans="1:12" ht="12" customHeight="1">
      <c r="A25" s="70">
        <v>16</v>
      </c>
      <c r="B25" s="18"/>
      <c r="C25" s="36" t="s">
        <v>352</v>
      </c>
      <c r="D25" s="12" t="s">
        <v>191</v>
      </c>
      <c r="E25" s="135">
        <f t="shared" si="1"/>
        <v>2.6</v>
      </c>
      <c r="F25" s="135">
        <f>2+0.6</f>
        <v>2.6</v>
      </c>
      <c r="G25" s="135"/>
      <c r="H25" s="135"/>
      <c r="I25" s="1"/>
      <c r="J25" s="30"/>
      <c r="K25" s="30"/>
      <c r="L25" s="30"/>
    </row>
    <row r="26" spans="1:12" ht="12" customHeight="1">
      <c r="A26" s="70">
        <v>17</v>
      </c>
      <c r="B26" s="18"/>
      <c r="C26" s="40" t="s">
        <v>354</v>
      </c>
      <c r="D26" s="12" t="s">
        <v>191</v>
      </c>
      <c r="E26" s="135">
        <f t="shared" si="1"/>
        <v>0.1</v>
      </c>
      <c r="F26" s="135">
        <v>0.1</v>
      </c>
      <c r="G26" s="135"/>
      <c r="H26" s="135"/>
      <c r="I26" s="1"/>
      <c r="J26" s="30"/>
      <c r="K26" s="30"/>
      <c r="L26" s="30"/>
    </row>
    <row r="27" spans="1:12" ht="12" customHeight="1">
      <c r="A27" s="70">
        <v>18</v>
      </c>
      <c r="B27" s="18"/>
      <c r="C27" s="36" t="s">
        <v>353</v>
      </c>
      <c r="D27" s="12" t="s">
        <v>191</v>
      </c>
      <c r="E27" s="135">
        <f t="shared" si="1"/>
        <v>3</v>
      </c>
      <c r="F27" s="135">
        <v>3</v>
      </c>
      <c r="G27" s="135"/>
      <c r="H27" s="135"/>
      <c r="I27" s="1"/>
      <c r="J27" s="30"/>
      <c r="K27" s="30"/>
      <c r="L27" s="30"/>
    </row>
    <row r="28" spans="1:12" ht="12" customHeight="1">
      <c r="A28" s="70">
        <v>19</v>
      </c>
      <c r="B28" s="18"/>
      <c r="C28" s="36" t="s">
        <v>108</v>
      </c>
      <c r="D28" s="12" t="s">
        <v>191</v>
      </c>
      <c r="E28" s="135">
        <f t="shared" si="1"/>
        <v>0.1</v>
      </c>
      <c r="F28" s="135">
        <v>0.1</v>
      </c>
      <c r="G28" s="135"/>
      <c r="H28" s="135"/>
      <c r="I28" s="1"/>
      <c r="J28" s="30"/>
      <c r="K28" s="30"/>
      <c r="L28" s="30"/>
    </row>
    <row r="29" spans="1:12" ht="12" customHeight="1">
      <c r="A29" s="70">
        <v>20</v>
      </c>
      <c r="B29" s="18"/>
      <c r="C29" s="36" t="s">
        <v>417</v>
      </c>
      <c r="D29" s="12" t="s">
        <v>191</v>
      </c>
      <c r="E29" s="135">
        <f t="shared" si="1"/>
        <v>0.3</v>
      </c>
      <c r="F29" s="135">
        <f>0.6-0.3</f>
        <v>0.3</v>
      </c>
      <c r="G29" s="135"/>
      <c r="H29" s="135"/>
      <c r="I29" s="1"/>
      <c r="J29" s="30"/>
      <c r="K29" s="30"/>
      <c r="L29" s="30"/>
    </row>
    <row r="30" spans="1:12" ht="12" customHeight="1">
      <c r="A30" s="70">
        <v>21</v>
      </c>
      <c r="B30" s="18"/>
      <c r="C30" s="81" t="s">
        <v>418</v>
      </c>
      <c r="D30" s="12" t="s">
        <v>191</v>
      </c>
      <c r="E30" s="135">
        <f t="shared" si="1"/>
        <v>0.1</v>
      </c>
      <c r="F30" s="135">
        <v>0.1</v>
      </c>
      <c r="G30" s="135"/>
      <c r="H30" s="135"/>
      <c r="I30" s="1"/>
      <c r="J30" s="30"/>
      <c r="K30" s="30"/>
      <c r="L30" s="30"/>
    </row>
    <row r="31" spans="1:12" ht="12" customHeight="1">
      <c r="A31" s="70">
        <v>22</v>
      </c>
      <c r="B31" s="18"/>
      <c r="C31" s="81" t="s">
        <v>109</v>
      </c>
      <c r="D31" s="12" t="s">
        <v>191</v>
      </c>
      <c r="E31" s="135">
        <f t="shared" si="1"/>
        <v>0.1</v>
      </c>
      <c r="F31" s="135">
        <v>0.1</v>
      </c>
      <c r="G31" s="135"/>
      <c r="H31" s="135"/>
      <c r="I31" s="1"/>
      <c r="J31" s="1"/>
      <c r="K31" s="1"/>
      <c r="L31" s="1"/>
    </row>
    <row r="32" spans="1:12" ht="12" customHeight="1">
      <c r="A32" s="70">
        <v>23</v>
      </c>
      <c r="B32" s="18"/>
      <c r="C32" s="81" t="s">
        <v>419</v>
      </c>
      <c r="D32" s="12" t="s">
        <v>191</v>
      </c>
      <c r="E32" s="135">
        <f t="shared" si="1"/>
        <v>0.1</v>
      </c>
      <c r="F32" s="135">
        <v>0.1</v>
      </c>
      <c r="G32" s="135"/>
      <c r="H32" s="135"/>
      <c r="I32" s="1"/>
      <c r="J32" s="1"/>
      <c r="K32" s="1"/>
      <c r="L32" s="1"/>
    </row>
    <row r="33" spans="1:12" ht="12" customHeight="1">
      <c r="A33" s="70">
        <v>24</v>
      </c>
      <c r="B33" s="18"/>
      <c r="C33" s="36" t="s">
        <v>293</v>
      </c>
      <c r="D33" s="10" t="s">
        <v>138</v>
      </c>
      <c r="E33" s="135">
        <f t="shared" si="1"/>
        <v>0.2</v>
      </c>
      <c r="F33" s="135">
        <v>0.2</v>
      </c>
      <c r="G33" s="135"/>
      <c r="H33" s="135"/>
      <c r="I33" s="1"/>
      <c r="J33" s="1"/>
      <c r="K33" s="1"/>
      <c r="L33" s="1"/>
    </row>
    <row r="34" spans="1:12" ht="12" customHeight="1">
      <c r="A34" s="70">
        <v>25</v>
      </c>
      <c r="B34" s="18"/>
      <c r="C34" s="40" t="s">
        <v>117</v>
      </c>
      <c r="D34" s="10" t="s">
        <v>140</v>
      </c>
      <c r="E34" s="135">
        <f t="shared" si="1"/>
        <v>0.1</v>
      </c>
      <c r="F34" s="135">
        <v>0.1</v>
      </c>
      <c r="G34" s="135"/>
      <c r="H34" s="135"/>
      <c r="I34" s="1"/>
      <c r="J34" s="1"/>
      <c r="K34" s="1"/>
      <c r="L34" s="1"/>
    </row>
    <row r="35" spans="1:12" ht="12" customHeight="1">
      <c r="A35" s="70">
        <v>26</v>
      </c>
      <c r="B35" s="18"/>
      <c r="C35" s="40" t="s">
        <v>294</v>
      </c>
      <c r="D35" s="10" t="s">
        <v>140</v>
      </c>
      <c r="E35" s="135">
        <f t="shared" si="1"/>
        <v>40</v>
      </c>
      <c r="F35" s="135">
        <f>35</f>
        <v>35</v>
      </c>
      <c r="G35" s="135"/>
      <c r="H35" s="135">
        <v>5</v>
      </c>
      <c r="I35" s="1"/>
      <c r="J35" s="1"/>
      <c r="K35" s="1"/>
      <c r="L35" s="1"/>
    </row>
    <row r="36" spans="1:12" ht="12" customHeight="1">
      <c r="A36" s="70">
        <v>27</v>
      </c>
      <c r="B36" s="18"/>
      <c r="C36" s="93" t="s">
        <v>219</v>
      </c>
      <c r="D36" s="10" t="s">
        <v>220</v>
      </c>
      <c r="E36" s="135">
        <f t="shared" si="1"/>
        <v>1.3</v>
      </c>
      <c r="F36" s="135">
        <f>1.3</f>
        <v>1.3</v>
      </c>
      <c r="G36" s="135"/>
      <c r="H36" s="135"/>
      <c r="I36" s="1"/>
      <c r="J36" s="1"/>
      <c r="K36" s="1"/>
      <c r="L36" s="1"/>
    </row>
    <row r="37" spans="1:12" ht="12" customHeight="1">
      <c r="A37" s="70">
        <v>28</v>
      </c>
      <c r="B37" s="18"/>
      <c r="C37" s="101" t="s">
        <v>15</v>
      </c>
      <c r="D37" s="10" t="s">
        <v>136</v>
      </c>
      <c r="E37" s="135">
        <f t="shared" si="1"/>
        <v>0.2</v>
      </c>
      <c r="F37" s="135">
        <v>0.2</v>
      </c>
      <c r="G37" s="135"/>
      <c r="H37" s="135"/>
      <c r="I37" s="1"/>
      <c r="J37" s="1"/>
      <c r="K37" s="1"/>
      <c r="L37" s="1"/>
    </row>
    <row r="38" spans="1:12" ht="15" customHeight="1">
      <c r="A38" s="70">
        <v>29</v>
      </c>
      <c r="B38" s="8" t="s">
        <v>162</v>
      </c>
      <c r="C38" s="11" t="s">
        <v>163</v>
      </c>
      <c r="D38" s="10"/>
      <c r="E38" s="136">
        <f aca="true" t="shared" si="2" ref="E38:E47">+F38+H38</f>
        <v>12.9</v>
      </c>
      <c r="F38" s="136">
        <f>SUM(F39:F46)</f>
        <v>12.9</v>
      </c>
      <c r="G38" s="136">
        <f>SUM(G39:G46)</f>
        <v>0</v>
      </c>
      <c r="H38" s="136">
        <f>SUM(H39:H46)</f>
        <v>0</v>
      </c>
      <c r="I38" s="1"/>
      <c r="J38" s="1"/>
      <c r="K38" s="1"/>
      <c r="L38" s="1"/>
    </row>
    <row r="39" spans="1:12" ht="12" customHeight="1">
      <c r="A39" s="70">
        <v>30</v>
      </c>
      <c r="B39" s="18"/>
      <c r="C39" s="93" t="s">
        <v>111</v>
      </c>
      <c r="D39" s="10" t="s">
        <v>164</v>
      </c>
      <c r="E39" s="135">
        <f t="shared" si="2"/>
        <v>11</v>
      </c>
      <c r="F39" s="135">
        <f>10+1</f>
        <v>11</v>
      </c>
      <c r="G39" s="135"/>
      <c r="H39" s="135"/>
      <c r="I39" s="1"/>
      <c r="J39" s="1"/>
      <c r="K39" s="1"/>
      <c r="L39" s="1"/>
    </row>
    <row r="40" spans="1:12" ht="12" customHeight="1">
      <c r="A40" s="70">
        <v>31</v>
      </c>
      <c r="B40" s="18"/>
      <c r="C40" s="41" t="s">
        <v>119</v>
      </c>
      <c r="D40" s="10" t="s">
        <v>164</v>
      </c>
      <c r="E40" s="135">
        <f t="shared" si="2"/>
        <v>0.3</v>
      </c>
      <c r="F40" s="135">
        <f>0.6-0.3</f>
        <v>0.3</v>
      </c>
      <c r="G40" s="135"/>
      <c r="H40" s="135"/>
      <c r="I40" s="1"/>
      <c r="J40" s="1"/>
      <c r="K40" s="1"/>
      <c r="L40" s="1"/>
    </row>
    <row r="41" spans="1:12" ht="12" customHeight="1">
      <c r="A41" s="70">
        <v>32</v>
      </c>
      <c r="B41" s="18"/>
      <c r="C41" s="93" t="s">
        <v>120</v>
      </c>
      <c r="D41" s="10" t="s">
        <v>164</v>
      </c>
      <c r="E41" s="135">
        <f t="shared" si="2"/>
        <v>0.30000000000000004</v>
      </c>
      <c r="F41" s="135">
        <f>1-0.7</f>
        <v>0.30000000000000004</v>
      </c>
      <c r="G41" s="135"/>
      <c r="H41" s="135"/>
      <c r="I41" s="1"/>
      <c r="J41" s="1"/>
      <c r="K41" s="1"/>
      <c r="L41" s="1"/>
    </row>
    <row r="42" spans="1:12" ht="12" customHeight="1">
      <c r="A42" s="70">
        <v>33</v>
      </c>
      <c r="B42" s="18"/>
      <c r="C42" s="93" t="s">
        <v>112</v>
      </c>
      <c r="D42" s="10" t="s">
        <v>164</v>
      </c>
      <c r="E42" s="135">
        <f t="shared" si="2"/>
        <v>0.2</v>
      </c>
      <c r="F42" s="135">
        <f>0.5-0.3</f>
        <v>0.2</v>
      </c>
      <c r="G42" s="135"/>
      <c r="H42" s="135"/>
      <c r="I42" s="1"/>
      <c r="J42" s="1"/>
      <c r="K42" s="1"/>
      <c r="L42" s="1"/>
    </row>
    <row r="43" spans="1:12" ht="12" customHeight="1">
      <c r="A43" s="70">
        <v>34</v>
      </c>
      <c r="B43" s="18"/>
      <c r="C43" s="93" t="s">
        <v>121</v>
      </c>
      <c r="D43" s="10" t="s">
        <v>164</v>
      </c>
      <c r="E43" s="135">
        <f t="shared" si="2"/>
        <v>0.2</v>
      </c>
      <c r="F43" s="135">
        <v>0.2</v>
      </c>
      <c r="G43" s="135"/>
      <c r="H43" s="135"/>
      <c r="I43" s="1"/>
      <c r="J43" s="1"/>
      <c r="K43" s="1"/>
      <c r="L43" s="1"/>
    </row>
    <row r="44" spans="1:12" ht="12" customHeight="1">
      <c r="A44" s="70">
        <v>35</v>
      </c>
      <c r="B44" s="18"/>
      <c r="C44" s="41" t="s">
        <v>122</v>
      </c>
      <c r="D44" s="10" t="s">
        <v>164</v>
      </c>
      <c r="E44" s="135">
        <f t="shared" si="2"/>
        <v>0.2</v>
      </c>
      <c r="F44" s="135">
        <v>0.2</v>
      </c>
      <c r="G44" s="135"/>
      <c r="H44" s="135"/>
      <c r="I44" s="1"/>
      <c r="J44" s="1"/>
      <c r="K44" s="1"/>
      <c r="L44" s="1"/>
    </row>
    <row r="45" spans="1:12" ht="26.25" customHeight="1">
      <c r="A45" s="70">
        <v>36</v>
      </c>
      <c r="B45" s="18"/>
      <c r="C45" s="36" t="s">
        <v>123</v>
      </c>
      <c r="D45" s="10" t="s">
        <v>165</v>
      </c>
      <c r="E45" s="135">
        <f t="shared" si="2"/>
        <v>0.3</v>
      </c>
      <c r="F45" s="135">
        <v>0.3</v>
      </c>
      <c r="G45" s="135"/>
      <c r="H45" s="135"/>
      <c r="I45" s="1"/>
      <c r="J45" s="1"/>
      <c r="K45" s="1"/>
      <c r="L45" s="1"/>
    </row>
    <row r="46" spans="1:12" ht="12" customHeight="1">
      <c r="A46" s="70">
        <v>37</v>
      </c>
      <c r="B46" s="18"/>
      <c r="C46" s="93" t="s">
        <v>110</v>
      </c>
      <c r="D46" s="10" t="s">
        <v>166</v>
      </c>
      <c r="E46" s="135">
        <f t="shared" si="2"/>
        <v>0.4</v>
      </c>
      <c r="F46" s="135">
        <v>0.4</v>
      </c>
      <c r="G46" s="135"/>
      <c r="H46" s="135"/>
      <c r="I46" s="1"/>
      <c r="J46" s="1"/>
      <c r="K46" s="1"/>
      <c r="L46" s="1"/>
    </row>
    <row r="47" spans="1:12" ht="15" customHeight="1">
      <c r="A47" s="70">
        <v>38</v>
      </c>
      <c r="B47" s="8" t="s">
        <v>27</v>
      </c>
      <c r="C47" s="11" t="s">
        <v>28</v>
      </c>
      <c r="D47" s="10"/>
      <c r="E47" s="136">
        <f t="shared" si="2"/>
        <v>30.500000000000004</v>
      </c>
      <c r="F47" s="136">
        <f>SUM(F48:F59)</f>
        <v>30.500000000000004</v>
      </c>
      <c r="G47" s="136">
        <f>SUM(G48:G59)</f>
        <v>0</v>
      </c>
      <c r="H47" s="136">
        <f>SUM(H48:H59)</f>
        <v>0</v>
      </c>
      <c r="I47" s="1"/>
      <c r="J47" s="1"/>
      <c r="K47" s="1"/>
      <c r="L47" s="1"/>
    </row>
    <row r="48" spans="1:12" ht="12" customHeight="1">
      <c r="A48" s="70">
        <v>39</v>
      </c>
      <c r="B48" s="18"/>
      <c r="C48" s="91" t="s">
        <v>3</v>
      </c>
      <c r="D48" s="33" t="s">
        <v>290</v>
      </c>
      <c r="E48" s="137">
        <f t="shared" si="1"/>
        <v>10</v>
      </c>
      <c r="F48" s="137">
        <f>20-10</f>
        <v>10</v>
      </c>
      <c r="G48" s="137"/>
      <c r="H48" s="137"/>
      <c r="I48" s="1"/>
      <c r="J48" s="1"/>
      <c r="K48" s="1"/>
      <c r="L48" s="1"/>
    </row>
    <row r="49" spans="1:12" ht="24.75" customHeight="1">
      <c r="A49" s="70">
        <v>40</v>
      </c>
      <c r="B49" s="18"/>
      <c r="C49" s="51" t="s">
        <v>8</v>
      </c>
      <c r="D49" s="33" t="s">
        <v>291</v>
      </c>
      <c r="E49" s="137">
        <f>+F49+H49</f>
        <v>4.5</v>
      </c>
      <c r="F49" s="137">
        <f>3+1.5</f>
        <v>4.5</v>
      </c>
      <c r="G49" s="137"/>
      <c r="H49" s="137"/>
      <c r="I49" s="1"/>
      <c r="J49" s="1"/>
      <c r="K49" s="1"/>
      <c r="L49" s="1"/>
    </row>
    <row r="50" spans="1:12" ht="12" customHeight="1">
      <c r="A50" s="70">
        <v>41</v>
      </c>
      <c r="B50" s="18"/>
      <c r="C50" s="81" t="s">
        <v>4</v>
      </c>
      <c r="D50" s="33" t="s">
        <v>290</v>
      </c>
      <c r="E50" s="137">
        <f t="shared" si="1"/>
        <v>1.6</v>
      </c>
      <c r="F50" s="137">
        <f>1.1+0.5</f>
        <v>1.6</v>
      </c>
      <c r="G50" s="137"/>
      <c r="H50" s="137"/>
      <c r="I50" s="1"/>
      <c r="J50" s="1"/>
      <c r="K50" s="1"/>
      <c r="L50" s="1"/>
    </row>
    <row r="51" spans="1:12" ht="12" customHeight="1">
      <c r="A51" s="70">
        <v>42</v>
      </c>
      <c r="B51" s="18"/>
      <c r="C51" s="81" t="s">
        <v>5</v>
      </c>
      <c r="D51" s="33" t="s">
        <v>290</v>
      </c>
      <c r="E51" s="137">
        <f t="shared" si="1"/>
        <v>1.5</v>
      </c>
      <c r="F51" s="137">
        <f>0.7+0.8</f>
        <v>1.5</v>
      </c>
      <c r="G51" s="137"/>
      <c r="H51" s="137"/>
      <c r="I51" s="1"/>
      <c r="J51" s="1"/>
      <c r="K51" s="1"/>
      <c r="L51" s="1"/>
    </row>
    <row r="52" spans="1:12" ht="12" customHeight="1">
      <c r="A52" s="70">
        <v>43</v>
      </c>
      <c r="B52" s="18"/>
      <c r="C52" s="81" t="s">
        <v>7</v>
      </c>
      <c r="D52" s="33" t="s">
        <v>290</v>
      </c>
      <c r="E52" s="137">
        <f>+F52+H52</f>
        <v>4</v>
      </c>
      <c r="F52" s="137">
        <v>4</v>
      </c>
      <c r="G52" s="137"/>
      <c r="H52" s="137"/>
      <c r="I52" s="1"/>
      <c r="J52" s="1"/>
      <c r="K52" s="1"/>
      <c r="L52" s="1"/>
    </row>
    <row r="53" spans="1:12" ht="12" customHeight="1">
      <c r="A53" s="70">
        <v>44</v>
      </c>
      <c r="B53" s="144"/>
      <c r="C53" s="102" t="s">
        <v>6</v>
      </c>
      <c r="D53" s="33" t="s">
        <v>290</v>
      </c>
      <c r="E53" s="145">
        <f t="shared" si="1"/>
        <v>1.7</v>
      </c>
      <c r="F53" s="145">
        <f>1.7</f>
        <v>1.7</v>
      </c>
      <c r="G53" s="145"/>
      <c r="H53" s="145"/>
      <c r="I53" s="1"/>
      <c r="J53" s="1"/>
      <c r="K53" s="1"/>
      <c r="L53" s="1"/>
    </row>
    <row r="54" spans="1:12" ht="12" customHeight="1">
      <c r="A54" s="70">
        <v>45</v>
      </c>
      <c r="B54" s="18"/>
      <c r="C54" s="81" t="s">
        <v>9</v>
      </c>
      <c r="D54" s="33" t="s">
        <v>290</v>
      </c>
      <c r="E54" s="137">
        <f t="shared" si="1"/>
        <v>1</v>
      </c>
      <c r="F54" s="137">
        <f>1</f>
        <v>1</v>
      </c>
      <c r="G54" s="137"/>
      <c r="H54" s="137"/>
      <c r="I54" s="1"/>
      <c r="J54" s="1"/>
      <c r="K54" s="1"/>
      <c r="L54" s="1"/>
    </row>
    <row r="55" spans="1:12" ht="12" customHeight="1">
      <c r="A55" s="70">
        <v>46</v>
      </c>
      <c r="B55" s="18"/>
      <c r="C55" s="91" t="s">
        <v>10</v>
      </c>
      <c r="D55" s="33" t="s">
        <v>290</v>
      </c>
      <c r="E55" s="137">
        <f t="shared" si="1"/>
        <v>0.6</v>
      </c>
      <c r="F55" s="137">
        <v>0.6</v>
      </c>
      <c r="G55" s="137"/>
      <c r="H55" s="137"/>
      <c r="I55" s="1"/>
      <c r="J55" s="1"/>
      <c r="K55" s="1"/>
      <c r="L55" s="1"/>
    </row>
    <row r="56" spans="1:12" ht="12" customHeight="1">
      <c r="A56" s="70">
        <v>47</v>
      </c>
      <c r="B56" s="18"/>
      <c r="C56" s="81" t="s">
        <v>12</v>
      </c>
      <c r="D56" s="33" t="s">
        <v>290</v>
      </c>
      <c r="E56" s="137">
        <f>+F56+H56</f>
        <v>2</v>
      </c>
      <c r="F56" s="137">
        <v>2</v>
      </c>
      <c r="G56" s="137"/>
      <c r="H56" s="137"/>
      <c r="I56" s="1"/>
      <c r="J56" s="1"/>
      <c r="K56" s="1"/>
      <c r="L56" s="1"/>
    </row>
    <row r="57" spans="1:12" ht="12" customHeight="1">
      <c r="A57" s="70">
        <v>48</v>
      </c>
      <c r="B57" s="18"/>
      <c r="C57" s="81" t="s">
        <v>11</v>
      </c>
      <c r="D57" s="33" t="s">
        <v>290</v>
      </c>
      <c r="E57" s="137">
        <f t="shared" si="1"/>
        <v>2</v>
      </c>
      <c r="F57" s="137">
        <v>2</v>
      </c>
      <c r="G57" s="137"/>
      <c r="H57" s="137"/>
      <c r="I57" s="1"/>
      <c r="J57" s="1"/>
      <c r="K57" s="1"/>
      <c r="L57" s="1"/>
    </row>
    <row r="58" spans="1:12" ht="12" customHeight="1">
      <c r="A58" s="70">
        <v>49</v>
      </c>
      <c r="B58" s="146"/>
      <c r="C58" s="91" t="s">
        <v>13</v>
      </c>
      <c r="D58" s="33" t="s">
        <v>290</v>
      </c>
      <c r="E58" s="137">
        <f t="shared" si="1"/>
        <v>1.1</v>
      </c>
      <c r="F58" s="137">
        <v>1.1</v>
      </c>
      <c r="G58" s="137"/>
      <c r="H58" s="137"/>
      <c r="I58" s="1"/>
      <c r="J58" s="1"/>
      <c r="K58" s="1"/>
      <c r="L58" s="1"/>
    </row>
    <row r="59" spans="1:12" ht="12" customHeight="1">
      <c r="A59" s="70">
        <v>50</v>
      </c>
      <c r="B59" s="18"/>
      <c r="C59" s="81" t="s">
        <v>14</v>
      </c>
      <c r="D59" s="33" t="s">
        <v>290</v>
      </c>
      <c r="E59" s="137">
        <f t="shared" si="1"/>
        <v>0.5</v>
      </c>
      <c r="F59" s="137">
        <v>0.5</v>
      </c>
      <c r="G59" s="137"/>
      <c r="H59" s="137"/>
      <c r="I59" s="1"/>
      <c r="J59" s="1"/>
      <c r="K59" s="1"/>
      <c r="L59" s="1"/>
    </row>
    <row r="60" spans="1:14" ht="12" customHeight="1">
      <c r="A60" s="70">
        <v>51</v>
      </c>
      <c r="B60" s="18"/>
      <c r="C60" s="241" t="s">
        <v>22</v>
      </c>
      <c r="D60" s="105"/>
      <c r="E60" s="136">
        <f>+F60+H60</f>
        <v>109.80000000000001</v>
      </c>
      <c r="F60" s="136">
        <f>+F10+F38+F47</f>
        <v>103.30000000000001</v>
      </c>
      <c r="G60" s="136">
        <f>+G10+G38+G47</f>
        <v>0</v>
      </c>
      <c r="H60" s="136">
        <f>+H10+H38+H47</f>
        <v>6.5</v>
      </c>
      <c r="I60" s="1"/>
      <c r="J60" s="1"/>
      <c r="K60" s="1"/>
      <c r="L60" s="1"/>
      <c r="M60" s="1"/>
      <c r="N60" s="1"/>
    </row>
    <row r="61" spans="3:8" ht="12.75">
      <c r="C61" s="2" t="s">
        <v>193</v>
      </c>
      <c r="E61" s="1"/>
      <c r="F61" s="1"/>
      <c r="G61" s="1"/>
      <c r="H61" s="1"/>
    </row>
    <row r="62" spans="5:8" ht="12.75">
      <c r="E62" s="1"/>
      <c r="F62" s="1"/>
      <c r="G62" s="1"/>
      <c r="H62" s="1"/>
    </row>
    <row r="63" spans="5:8" ht="12.75">
      <c r="E63" s="1"/>
      <c r="F63" s="1"/>
      <c r="G63" s="1"/>
      <c r="H63" s="1"/>
    </row>
    <row r="65" spans="5:10" ht="12.75">
      <c r="E65" s="193"/>
      <c r="J65" s="83"/>
    </row>
  </sheetData>
  <sheetProtection/>
  <mergeCells count="12">
    <mergeCell ref="C1:H1"/>
    <mergeCell ref="C2:H2"/>
    <mergeCell ref="G3:H3"/>
    <mergeCell ref="A4:H4"/>
    <mergeCell ref="A6:A8"/>
    <mergeCell ref="B6:B8"/>
    <mergeCell ref="C6:C8"/>
    <mergeCell ref="D6:D8"/>
    <mergeCell ref="E6:E8"/>
    <mergeCell ref="F6:H6"/>
    <mergeCell ref="F7:G7"/>
    <mergeCell ref="H7:H8"/>
  </mergeCells>
  <printOptions/>
  <pageMargins left="0.31496062992125984" right="0" top="0.15748031496062992" bottom="0"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L66"/>
  <sheetViews>
    <sheetView zoomScalePageLayoutView="0" workbookViewId="0" topLeftCell="A1">
      <selection activeCell="E62" sqref="E62"/>
    </sheetView>
  </sheetViews>
  <sheetFormatPr defaultColWidth="9.140625" defaultRowHeight="12.75"/>
  <cols>
    <col min="1" max="2" width="4.00390625" style="2" customWidth="1"/>
    <col min="3" max="3" width="53.140625" style="2" customWidth="1"/>
    <col min="4" max="4" width="10.7109375" style="6" customWidth="1"/>
    <col min="5" max="5" width="7.57421875" style="6" customWidth="1"/>
    <col min="6" max="6" width="7.421875" style="6" customWidth="1"/>
    <col min="7" max="7" width="7.8515625" style="6" customWidth="1"/>
    <col min="8" max="8" width="6.00390625" style="6" customWidth="1"/>
    <col min="9" max="16384" width="9.140625" style="2" customWidth="1"/>
  </cols>
  <sheetData>
    <row r="1" spans="3:8" ht="15.75">
      <c r="C1" s="291" t="s">
        <v>292</v>
      </c>
      <c r="D1" s="291"/>
      <c r="E1" s="291"/>
      <c r="F1" s="291"/>
      <c r="G1" s="291"/>
      <c r="H1" s="291"/>
    </row>
    <row r="2" spans="3:8" ht="15.75">
      <c r="C2" s="291" t="s">
        <v>926</v>
      </c>
      <c r="D2" s="291"/>
      <c r="E2" s="291"/>
      <c r="F2" s="291"/>
      <c r="G2" s="291"/>
      <c r="H2" s="291"/>
    </row>
    <row r="3" spans="7:8" ht="15.75">
      <c r="G3" s="297" t="s">
        <v>129</v>
      </c>
      <c r="H3" s="297"/>
    </row>
    <row r="4" spans="7:8" ht="15.75">
      <c r="G4" s="31"/>
      <c r="H4" s="31"/>
    </row>
    <row r="5" spans="1:8" ht="18.75" customHeight="1">
      <c r="A5" s="313" t="s">
        <v>426</v>
      </c>
      <c r="B5" s="313"/>
      <c r="C5" s="313"/>
      <c r="D5" s="313"/>
      <c r="E5" s="313"/>
      <c r="F5" s="313"/>
      <c r="G5" s="313"/>
      <c r="H5" s="313"/>
    </row>
    <row r="6" ht="12.75">
      <c r="H6" s="6" t="s">
        <v>396</v>
      </c>
    </row>
    <row r="7" spans="1:8" ht="33" customHeight="1">
      <c r="A7" s="300" t="s">
        <v>0</v>
      </c>
      <c r="B7" s="300" t="s">
        <v>32</v>
      </c>
      <c r="C7" s="300" t="s">
        <v>16</v>
      </c>
      <c r="D7" s="300" t="s">
        <v>131</v>
      </c>
      <c r="E7" s="300" t="s">
        <v>194</v>
      </c>
      <c r="F7" s="300"/>
      <c r="G7" s="300"/>
      <c r="H7" s="300"/>
    </row>
    <row r="8" spans="1:8" ht="12.75" customHeight="1">
      <c r="A8" s="300"/>
      <c r="B8" s="300"/>
      <c r="C8" s="300"/>
      <c r="D8" s="300"/>
      <c r="E8" s="300" t="s">
        <v>17</v>
      </c>
      <c r="F8" s="300" t="s">
        <v>18</v>
      </c>
      <c r="G8" s="300"/>
      <c r="H8" s="300"/>
    </row>
    <row r="9" spans="1:8" ht="12.75" customHeight="1">
      <c r="A9" s="300"/>
      <c r="B9" s="300"/>
      <c r="C9" s="300"/>
      <c r="D9" s="300"/>
      <c r="E9" s="300"/>
      <c r="F9" s="300" t="s">
        <v>190</v>
      </c>
      <c r="G9" s="300"/>
      <c r="H9" s="300" t="s">
        <v>33</v>
      </c>
    </row>
    <row r="10" spans="1:8" ht="56.25" customHeight="1">
      <c r="A10" s="300"/>
      <c r="B10" s="300"/>
      <c r="C10" s="300"/>
      <c r="D10" s="300"/>
      <c r="E10" s="300"/>
      <c r="F10" s="7" t="s">
        <v>34</v>
      </c>
      <c r="G10" s="7" t="s">
        <v>35</v>
      </c>
      <c r="H10" s="300"/>
    </row>
    <row r="11" spans="1:8" ht="12.75">
      <c r="A11" s="39">
        <v>1</v>
      </c>
      <c r="B11" s="7">
        <v>2</v>
      </c>
      <c r="C11" s="39">
        <v>3</v>
      </c>
      <c r="D11" s="7">
        <v>4</v>
      </c>
      <c r="E11" s="39">
        <v>5</v>
      </c>
      <c r="F11" s="7">
        <v>6</v>
      </c>
      <c r="G11" s="39">
        <v>7</v>
      </c>
      <c r="H11" s="7">
        <v>8</v>
      </c>
    </row>
    <row r="12" spans="1:10" ht="19.5" customHeight="1">
      <c r="A12" s="71">
        <v>1</v>
      </c>
      <c r="B12" s="8" t="s">
        <v>134</v>
      </c>
      <c r="C12" s="65" t="s">
        <v>135</v>
      </c>
      <c r="D12" s="92"/>
      <c r="E12" s="136">
        <f>+F12+H12</f>
        <v>139.7</v>
      </c>
      <c r="F12" s="136">
        <f>SUM(F13:F34)</f>
        <v>135.7</v>
      </c>
      <c r="G12" s="136">
        <f>SUM(G13:G34)</f>
        <v>17.7</v>
      </c>
      <c r="H12" s="136">
        <f>SUM(H13:H34)</f>
        <v>4</v>
      </c>
      <c r="I12" s="1"/>
      <c r="J12" s="1"/>
    </row>
    <row r="13" spans="1:10" ht="12" customHeight="1">
      <c r="A13" s="71">
        <v>2</v>
      </c>
      <c r="B13" s="8"/>
      <c r="C13" s="40" t="s">
        <v>910</v>
      </c>
      <c r="D13" s="10" t="s">
        <v>137</v>
      </c>
      <c r="E13" s="135">
        <f aca="true" t="shared" si="0" ref="E13:E59">+F13+H13</f>
        <v>0</v>
      </c>
      <c r="F13" s="135"/>
      <c r="G13" s="138"/>
      <c r="H13" s="138"/>
      <c r="I13" s="1"/>
      <c r="J13" s="1"/>
    </row>
    <row r="14" spans="1:9" ht="12" customHeight="1">
      <c r="A14" s="71">
        <v>3</v>
      </c>
      <c r="B14" s="18"/>
      <c r="C14" s="40" t="s">
        <v>911</v>
      </c>
      <c r="D14" s="10" t="s">
        <v>137</v>
      </c>
      <c r="E14" s="135">
        <f t="shared" si="0"/>
        <v>1</v>
      </c>
      <c r="F14" s="135">
        <v>1</v>
      </c>
      <c r="G14" s="135"/>
      <c r="H14" s="135"/>
      <c r="I14" s="1"/>
    </row>
    <row r="15" spans="1:9" ht="12" customHeight="1">
      <c r="A15" s="71">
        <v>4</v>
      </c>
      <c r="B15" s="18"/>
      <c r="C15" s="40" t="s">
        <v>106</v>
      </c>
      <c r="D15" s="10" t="s">
        <v>138</v>
      </c>
      <c r="E15" s="135">
        <f t="shared" si="0"/>
        <v>6</v>
      </c>
      <c r="F15" s="135">
        <f>9-3</f>
        <v>6</v>
      </c>
      <c r="G15" s="135">
        <f>0.9-0.9</f>
        <v>0</v>
      </c>
      <c r="H15" s="135"/>
      <c r="I15" s="1"/>
    </row>
    <row r="16" spans="1:9" ht="12" customHeight="1">
      <c r="A16" s="71">
        <v>5</v>
      </c>
      <c r="B16" s="18"/>
      <c r="C16" s="40" t="s">
        <v>115</v>
      </c>
      <c r="D16" s="10" t="s">
        <v>138</v>
      </c>
      <c r="E16" s="135">
        <f t="shared" si="0"/>
        <v>2.0999999999999996</v>
      </c>
      <c r="F16" s="135">
        <f>2.8-0.7</f>
        <v>2.0999999999999996</v>
      </c>
      <c r="G16" s="135"/>
      <c r="H16" s="135">
        <f>1.2-1.2</f>
        <v>0</v>
      </c>
      <c r="I16" s="1"/>
    </row>
    <row r="17" spans="1:9" ht="12" customHeight="1">
      <c r="A17" s="71">
        <v>6</v>
      </c>
      <c r="B17" s="18"/>
      <c r="C17" s="36" t="s">
        <v>414</v>
      </c>
      <c r="D17" s="10" t="s">
        <v>138</v>
      </c>
      <c r="E17" s="135">
        <f t="shared" si="0"/>
        <v>1</v>
      </c>
      <c r="F17" s="135">
        <f>1.6-0.6</f>
        <v>1</v>
      </c>
      <c r="G17" s="135">
        <f>0.5-0.2</f>
        <v>0.3</v>
      </c>
      <c r="H17" s="135"/>
      <c r="I17" s="1"/>
    </row>
    <row r="18" spans="1:9" ht="12" customHeight="1">
      <c r="A18" s="71">
        <v>7</v>
      </c>
      <c r="B18" s="18"/>
      <c r="C18" s="36" t="s">
        <v>415</v>
      </c>
      <c r="D18" s="10" t="s">
        <v>138</v>
      </c>
      <c r="E18" s="135">
        <f t="shared" si="0"/>
        <v>1</v>
      </c>
      <c r="F18" s="135">
        <f>2-1</f>
        <v>1</v>
      </c>
      <c r="G18" s="135"/>
      <c r="H18" s="135"/>
      <c r="I18" s="1"/>
    </row>
    <row r="19" spans="1:9" ht="12" customHeight="1">
      <c r="A19" s="71">
        <v>8</v>
      </c>
      <c r="B19" s="18"/>
      <c r="C19" s="36" t="s">
        <v>107</v>
      </c>
      <c r="D19" s="10" t="s">
        <v>138</v>
      </c>
      <c r="E19" s="135">
        <f t="shared" si="0"/>
        <v>4.6</v>
      </c>
      <c r="F19" s="135">
        <f>3.2+0.8</f>
        <v>4</v>
      </c>
      <c r="G19" s="135"/>
      <c r="H19" s="135">
        <v>0.6</v>
      </c>
      <c r="I19" s="1"/>
    </row>
    <row r="20" spans="1:9" ht="12" customHeight="1">
      <c r="A20" s="71">
        <v>9</v>
      </c>
      <c r="B20" s="18"/>
      <c r="C20" s="40" t="s">
        <v>420</v>
      </c>
      <c r="D20" s="10" t="s">
        <v>138</v>
      </c>
      <c r="E20" s="135">
        <f>+F20+H20</f>
        <v>1</v>
      </c>
      <c r="F20" s="135">
        <f>3-2</f>
        <v>1</v>
      </c>
      <c r="G20" s="135"/>
      <c r="H20" s="135"/>
      <c r="I20" s="1"/>
    </row>
    <row r="21" spans="1:9" ht="12" customHeight="1">
      <c r="A21" s="71">
        <v>10</v>
      </c>
      <c r="B21" s="18"/>
      <c r="C21" s="36" t="s">
        <v>352</v>
      </c>
      <c r="D21" s="12" t="s">
        <v>191</v>
      </c>
      <c r="E21" s="135">
        <f t="shared" si="0"/>
        <v>20</v>
      </c>
      <c r="F21" s="135">
        <f>20</f>
        <v>20</v>
      </c>
      <c r="G21" s="135"/>
      <c r="H21" s="135"/>
      <c r="I21" s="1"/>
    </row>
    <row r="22" spans="1:9" ht="12" customHeight="1">
      <c r="A22" s="71">
        <v>11</v>
      </c>
      <c r="B22" s="18"/>
      <c r="C22" s="40" t="s">
        <v>354</v>
      </c>
      <c r="D22" s="12" t="s">
        <v>191</v>
      </c>
      <c r="E22" s="135">
        <f t="shared" si="0"/>
        <v>3</v>
      </c>
      <c r="F22" s="135">
        <f>3</f>
        <v>3</v>
      </c>
      <c r="G22" s="135"/>
      <c r="H22" s="135"/>
      <c r="I22" s="1"/>
    </row>
    <row r="23" spans="1:9" ht="12" customHeight="1">
      <c r="A23" s="71">
        <v>12</v>
      </c>
      <c r="B23" s="18"/>
      <c r="C23" s="36" t="s">
        <v>353</v>
      </c>
      <c r="D23" s="10" t="s">
        <v>139</v>
      </c>
      <c r="E23" s="135">
        <f t="shared" si="0"/>
        <v>0</v>
      </c>
      <c r="F23" s="135"/>
      <c r="G23" s="135"/>
      <c r="H23" s="135"/>
      <c r="I23" s="1"/>
    </row>
    <row r="24" spans="1:9" ht="12" customHeight="1">
      <c r="A24" s="71">
        <v>13</v>
      </c>
      <c r="B24" s="18"/>
      <c r="C24" s="36" t="s">
        <v>108</v>
      </c>
      <c r="D24" s="10" t="s">
        <v>139</v>
      </c>
      <c r="E24" s="135">
        <f t="shared" si="0"/>
        <v>0.29999999999999993</v>
      </c>
      <c r="F24" s="135">
        <f>0.7-0.4</f>
        <v>0.29999999999999993</v>
      </c>
      <c r="G24" s="135"/>
      <c r="H24" s="135"/>
      <c r="I24" s="1"/>
    </row>
    <row r="25" spans="1:9" ht="12" customHeight="1">
      <c r="A25" s="71">
        <v>14</v>
      </c>
      <c r="B25" s="18"/>
      <c r="C25" s="36" t="s">
        <v>417</v>
      </c>
      <c r="D25" s="10" t="s">
        <v>139</v>
      </c>
      <c r="E25" s="135">
        <f t="shared" si="0"/>
        <v>0.8999999999999999</v>
      </c>
      <c r="F25" s="135">
        <f>1.4-0.5</f>
        <v>0.8999999999999999</v>
      </c>
      <c r="G25" s="135">
        <f>0.4-0.2</f>
        <v>0.2</v>
      </c>
      <c r="H25" s="135"/>
      <c r="I25" s="1"/>
    </row>
    <row r="26" spans="1:9" ht="12" customHeight="1">
      <c r="A26" s="71">
        <v>15</v>
      </c>
      <c r="B26" s="18"/>
      <c r="C26" s="81" t="s">
        <v>418</v>
      </c>
      <c r="D26" s="10" t="s">
        <v>139</v>
      </c>
      <c r="E26" s="135">
        <f t="shared" si="0"/>
        <v>0.1</v>
      </c>
      <c r="F26" s="135">
        <f>0.2-0.1</f>
        <v>0.1</v>
      </c>
      <c r="G26" s="135"/>
      <c r="H26" s="135"/>
      <c r="I26" s="1"/>
    </row>
    <row r="27" spans="1:9" ht="12" customHeight="1">
      <c r="A27" s="71">
        <v>16</v>
      </c>
      <c r="B27" s="18"/>
      <c r="C27" s="81" t="s">
        <v>109</v>
      </c>
      <c r="D27" s="10" t="s">
        <v>139</v>
      </c>
      <c r="E27" s="135">
        <f t="shared" si="0"/>
        <v>1</v>
      </c>
      <c r="F27" s="135">
        <f>0.6+0.4</f>
        <v>1</v>
      </c>
      <c r="G27" s="135"/>
      <c r="H27" s="135"/>
      <c r="I27" s="1"/>
    </row>
    <row r="28" spans="1:9" ht="12" customHeight="1">
      <c r="A28" s="71">
        <v>17</v>
      </c>
      <c r="B28" s="18"/>
      <c r="C28" s="81" t="s">
        <v>419</v>
      </c>
      <c r="D28" s="10" t="s">
        <v>139</v>
      </c>
      <c r="E28" s="135">
        <f t="shared" si="0"/>
        <v>0.7</v>
      </c>
      <c r="F28" s="135">
        <f>0.4+0.3</f>
        <v>0.7</v>
      </c>
      <c r="G28" s="135"/>
      <c r="H28" s="135"/>
      <c r="I28" s="1"/>
    </row>
    <row r="29" spans="1:9" ht="12" customHeight="1">
      <c r="A29" s="71">
        <v>18</v>
      </c>
      <c r="B29" s="18"/>
      <c r="C29" s="36" t="s">
        <v>293</v>
      </c>
      <c r="D29" s="10" t="s">
        <v>138</v>
      </c>
      <c r="E29" s="135">
        <f>+F29+H29</f>
        <v>36.5</v>
      </c>
      <c r="F29" s="135">
        <f>21+8.6+6.9</f>
        <v>36.5</v>
      </c>
      <c r="G29" s="135">
        <f>8.6+8.6</f>
        <v>17.2</v>
      </c>
      <c r="H29" s="135"/>
      <c r="I29" s="1"/>
    </row>
    <row r="30" spans="1:9" ht="12" customHeight="1">
      <c r="A30" s="71">
        <v>19</v>
      </c>
      <c r="B30" s="18"/>
      <c r="C30" s="40" t="s">
        <v>118</v>
      </c>
      <c r="D30" s="10" t="s">
        <v>139</v>
      </c>
      <c r="E30" s="135">
        <f>+F30+H30</f>
        <v>5.5</v>
      </c>
      <c r="F30" s="135">
        <f>4+1.5</f>
        <v>5.5</v>
      </c>
      <c r="G30" s="135"/>
      <c r="H30" s="135"/>
      <c r="I30" s="1"/>
    </row>
    <row r="31" spans="1:9" ht="12" customHeight="1">
      <c r="A31" s="71">
        <v>20</v>
      </c>
      <c r="B31" s="18"/>
      <c r="C31" s="40" t="s">
        <v>116</v>
      </c>
      <c r="D31" s="12" t="s">
        <v>140</v>
      </c>
      <c r="E31" s="135">
        <f t="shared" si="0"/>
        <v>0.3</v>
      </c>
      <c r="F31" s="135">
        <f>0.3</f>
        <v>0.3</v>
      </c>
      <c r="G31" s="135"/>
      <c r="H31" s="135"/>
      <c r="I31" s="1"/>
    </row>
    <row r="32" spans="1:9" ht="12" customHeight="1">
      <c r="A32" s="71">
        <v>21</v>
      </c>
      <c r="B32" s="18"/>
      <c r="C32" s="93" t="s">
        <v>117</v>
      </c>
      <c r="D32" s="12" t="s">
        <v>140</v>
      </c>
      <c r="E32" s="135">
        <f t="shared" si="0"/>
        <v>6.2</v>
      </c>
      <c r="F32" s="135">
        <f>2.5+0.3</f>
        <v>2.8</v>
      </c>
      <c r="G32" s="135"/>
      <c r="H32" s="135">
        <f>1.2+2.2</f>
        <v>3.4000000000000004</v>
      </c>
      <c r="I32" s="1"/>
    </row>
    <row r="33" spans="1:9" ht="12" customHeight="1">
      <c r="A33" s="71">
        <v>22</v>
      </c>
      <c r="B33" s="18"/>
      <c r="C33" s="40" t="s">
        <v>294</v>
      </c>
      <c r="D33" s="12" t="s">
        <v>140</v>
      </c>
      <c r="E33" s="135">
        <f t="shared" si="0"/>
        <v>30</v>
      </c>
      <c r="F33" s="135">
        <f>30</f>
        <v>30</v>
      </c>
      <c r="G33" s="135"/>
      <c r="H33" s="135"/>
      <c r="I33" s="1"/>
    </row>
    <row r="34" spans="1:9" ht="12" customHeight="1">
      <c r="A34" s="71">
        <v>23</v>
      </c>
      <c r="B34" s="18"/>
      <c r="C34" s="93" t="s">
        <v>219</v>
      </c>
      <c r="D34" s="10" t="s">
        <v>220</v>
      </c>
      <c r="E34" s="135">
        <f t="shared" si="0"/>
        <v>18.5</v>
      </c>
      <c r="F34" s="135">
        <f>18.5</f>
        <v>18.5</v>
      </c>
      <c r="G34" s="135"/>
      <c r="H34" s="135"/>
      <c r="I34" s="1"/>
    </row>
    <row r="35" spans="1:9" ht="19.5" customHeight="1">
      <c r="A35" s="71">
        <v>24</v>
      </c>
      <c r="B35" s="8" t="s">
        <v>145</v>
      </c>
      <c r="C35" s="11" t="s">
        <v>146</v>
      </c>
      <c r="D35" s="10"/>
      <c r="E35" s="136">
        <f>+F35+H35</f>
        <v>11.4</v>
      </c>
      <c r="F35" s="136">
        <f>SUM(F36:F36)</f>
        <v>11.4</v>
      </c>
      <c r="G35" s="136">
        <f>SUM(G36:G36)</f>
        <v>4</v>
      </c>
      <c r="H35" s="136">
        <f>SUM(H36:H36)</f>
        <v>0</v>
      </c>
      <c r="I35" s="1"/>
    </row>
    <row r="36" spans="1:9" ht="12" customHeight="1">
      <c r="A36" s="71">
        <v>25</v>
      </c>
      <c r="B36" s="18"/>
      <c r="C36" s="50" t="s">
        <v>124</v>
      </c>
      <c r="D36" s="105" t="s">
        <v>147</v>
      </c>
      <c r="E36" s="135">
        <f t="shared" si="0"/>
        <v>11.4</v>
      </c>
      <c r="F36" s="135">
        <f>7+4.4</f>
        <v>11.4</v>
      </c>
      <c r="G36" s="135">
        <v>4</v>
      </c>
      <c r="H36" s="135"/>
      <c r="I36" s="1"/>
    </row>
    <row r="37" spans="1:9" ht="19.5" customHeight="1">
      <c r="A37" s="71">
        <v>26</v>
      </c>
      <c r="B37" s="8" t="s">
        <v>23</v>
      </c>
      <c r="C37" s="11" t="s">
        <v>24</v>
      </c>
      <c r="D37" s="105"/>
      <c r="E37" s="136">
        <f>+F37+H37</f>
        <v>15.9</v>
      </c>
      <c r="F37" s="136">
        <f>SUM(F38:F39)</f>
        <v>15.9</v>
      </c>
      <c r="G37" s="136">
        <f>SUM(G38:G38)</f>
        <v>0</v>
      </c>
      <c r="H37" s="136">
        <f>SUM(H38:H38)</f>
        <v>0</v>
      </c>
      <c r="I37" s="1"/>
    </row>
    <row r="38" spans="1:9" ht="27" customHeight="1">
      <c r="A38" s="71">
        <v>27</v>
      </c>
      <c r="B38" s="18"/>
      <c r="C38" s="51" t="s">
        <v>1</v>
      </c>
      <c r="D38" s="33" t="s">
        <v>195</v>
      </c>
      <c r="E38" s="135">
        <f t="shared" si="0"/>
        <v>15.9</v>
      </c>
      <c r="F38" s="135">
        <f>13.4+2.5</f>
        <v>15.9</v>
      </c>
      <c r="G38" s="135"/>
      <c r="H38" s="135"/>
      <c r="I38" s="1"/>
    </row>
    <row r="39" spans="1:9" ht="12.75" customHeight="1">
      <c r="A39" s="71">
        <v>28</v>
      </c>
      <c r="B39" s="18"/>
      <c r="C39" s="51" t="s">
        <v>4</v>
      </c>
      <c r="D39" s="33" t="s">
        <v>448</v>
      </c>
      <c r="E39" s="135">
        <f t="shared" si="0"/>
        <v>0</v>
      </c>
      <c r="F39" s="135">
        <f>0.3-0.3</f>
        <v>0</v>
      </c>
      <c r="G39" s="135"/>
      <c r="H39" s="135"/>
      <c r="I39" s="1"/>
    </row>
    <row r="40" spans="1:9" ht="19.5" customHeight="1">
      <c r="A40" s="71">
        <v>29</v>
      </c>
      <c r="B40" s="8" t="s">
        <v>162</v>
      </c>
      <c r="C40" s="11" t="s">
        <v>163</v>
      </c>
      <c r="D40" s="10"/>
      <c r="E40" s="136">
        <f>+F40+H40</f>
        <v>40.5</v>
      </c>
      <c r="F40" s="136">
        <f>SUM(F41:F47)</f>
        <v>40.5</v>
      </c>
      <c r="G40" s="136">
        <f>SUM(G41:G47)</f>
        <v>0</v>
      </c>
      <c r="H40" s="136">
        <f>SUM(H41:H47)</f>
        <v>0</v>
      </c>
      <c r="I40" s="1"/>
    </row>
    <row r="41" spans="1:9" ht="12" customHeight="1">
      <c r="A41" s="71">
        <v>30</v>
      </c>
      <c r="B41" s="18"/>
      <c r="C41" s="93" t="s">
        <v>111</v>
      </c>
      <c r="D41" s="10" t="s">
        <v>164</v>
      </c>
      <c r="E41" s="135">
        <f t="shared" si="0"/>
        <v>10</v>
      </c>
      <c r="F41" s="135">
        <v>10</v>
      </c>
      <c r="G41" s="135"/>
      <c r="H41" s="135"/>
      <c r="I41" s="1"/>
    </row>
    <row r="42" spans="1:9" ht="12" customHeight="1">
      <c r="A42" s="71">
        <v>31</v>
      </c>
      <c r="B42" s="18"/>
      <c r="C42" s="93" t="s">
        <v>119</v>
      </c>
      <c r="D42" s="10" t="s">
        <v>164</v>
      </c>
      <c r="E42" s="135">
        <f t="shared" si="0"/>
        <v>0.30000000000000004</v>
      </c>
      <c r="F42" s="135">
        <f>0.8-0.5</f>
        <v>0.30000000000000004</v>
      </c>
      <c r="G42" s="135"/>
      <c r="H42" s="135"/>
      <c r="I42" s="1"/>
    </row>
    <row r="43" spans="1:9" ht="12" customHeight="1">
      <c r="A43" s="71">
        <v>32</v>
      </c>
      <c r="B43" s="18"/>
      <c r="C43" s="93" t="s">
        <v>120</v>
      </c>
      <c r="D43" s="10" t="s">
        <v>164</v>
      </c>
      <c r="E43" s="135">
        <f t="shared" si="0"/>
        <v>3.5</v>
      </c>
      <c r="F43" s="135">
        <f>4-0.5</f>
        <v>3.5</v>
      </c>
      <c r="G43" s="135"/>
      <c r="H43" s="135"/>
      <c r="I43" s="1"/>
    </row>
    <row r="44" spans="1:9" ht="12" customHeight="1">
      <c r="A44" s="71">
        <v>33</v>
      </c>
      <c r="B44" s="18"/>
      <c r="C44" s="93" t="s">
        <v>121</v>
      </c>
      <c r="D44" s="10" t="s">
        <v>164</v>
      </c>
      <c r="E44" s="135">
        <f t="shared" si="0"/>
        <v>0.6</v>
      </c>
      <c r="F44" s="135">
        <f>0.5+0.1</f>
        <v>0.6</v>
      </c>
      <c r="G44" s="135"/>
      <c r="H44" s="135"/>
      <c r="I44" s="1"/>
    </row>
    <row r="45" spans="1:9" ht="12" customHeight="1">
      <c r="A45" s="71">
        <v>34</v>
      </c>
      <c r="B45" s="18"/>
      <c r="C45" s="93" t="s">
        <v>122</v>
      </c>
      <c r="D45" s="10" t="s">
        <v>164</v>
      </c>
      <c r="E45" s="135">
        <f t="shared" si="0"/>
        <v>0.1</v>
      </c>
      <c r="F45" s="135">
        <v>0.1</v>
      </c>
      <c r="G45" s="135"/>
      <c r="H45" s="135"/>
      <c r="I45" s="1"/>
    </row>
    <row r="46" spans="1:9" ht="12" customHeight="1">
      <c r="A46" s="71">
        <v>35</v>
      </c>
      <c r="B46" s="18"/>
      <c r="C46" s="50" t="s">
        <v>123</v>
      </c>
      <c r="D46" s="105" t="s">
        <v>165</v>
      </c>
      <c r="E46" s="135">
        <f>+F46+H46</f>
        <v>1.5</v>
      </c>
      <c r="F46" s="135">
        <f>1.5</f>
        <v>1.5</v>
      </c>
      <c r="G46" s="135"/>
      <c r="H46" s="135"/>
      <c r="I46" s="1"/>
    </row>
    <row r="47" spans="1:9" ht="12" customHeight="1">
      <c r="A47" s="71">
        <v>36</v>
      </c>
      <c r="B47" s="18"/>
      <c r="C47" s="93" t="s">
        <v>110</v>
      </c>
      <c r="D47" s="12" t="s">
        <v>166</v>
      </c>
      <c r="E47" s="135">
        <f>+F47+H47</f>
        <v>24.5</v>
      </c>
      <c r="F47" s="135">
        <f>12+12.5</f>
        <v>24.5</v>
      </c>
      <c r="G47" s="135"/>
      <c r="H47" s="135"/>
      <c r="I47" s="1"/>
    </row>
    <row r="48" spans="1:9" ht="19.5" customHeight="1">
      <c r="A48" s="71">
        <v>37</v>
      </c>
      <c r="B48" s="8" t="s">
        <v>173</v>
      </c>
      <c r="C48" s="11" t="s">
        <v>174</v>
      </c>
      <c r="D48" s="105"/>
      <c r="E48" s="136">
        <f>+F48+H48</f>
        <v>6.8999999999999995</v>
      </c>
      <c r="F48" s="136">
        <f>SUM(F49:F54)</f>
        <v>6.8999999999999995</v>
      </c>
      <c r="G48" s="136">
        <f>SUM(G49:G54)</f>
        <v>0</v>
      </c>
      <c r="H48" s="136">
        <f>SUM(H49:H54)</f>
        <v>0</v>
      </c>
      <c r="I48" s="1"/>
    </row>
    <row r="49" spans="1:9" ht="19.5" customHeight="1">
      <c r="A49" s="71">
        <v>38</v>
      </c>
      <c r="B49" s="8"/>
      <c r="C49" s="51" t="s">
        <v>4</v>
      </c>
      <c r="D49" s="33" t="s">
        <v>196</v>
      </c>
      <c r="E49" s="135">
        <f>+F49+H49</f>
        <v>0.3</v>
      </c>
      <c r="F49" s="269">
        <v>0.3</v>
      </c>
      <c r="G49" s="269"/>
      <c r="H49" s="269"/>
      <c r="I49" s="1"/>
    </row>
    <row r="50" spans="1:9" ht="12" customHeight="1">
      <c r="A50" s="71">
        <v>39</v>
      </c>
      <c r="B50" s="18"/>
      <c r="C50" s="51" t="s">
        <v>5</v>
      </c>
      <c r="D50" s="33" t="s">
        <v>196</v>
      </c>
      <c r="E50" s="135">
        <f t="shared" si="0"/>
        <v>2.9</v>
      </c>
      <c r="F50" s="135">
        <v>2.9</v>
      </c>
      <c r="G50" s="135"/>
      <c r="H50" s="135"/>
      <c r="I50" s="1"/>
    </row>
    <row r="51" spans="1:9" ht="24" customHeight="1">
      <c r="A51" s="71">
        <v>40</v>
      </c>
      <c r="B51" s="8"/>
      <c r="C51" s="51" t="s">
        <v>7</v>
      </c>
      <c r="D51" s="186" t="s">
        <v>175</v>
      </c>
      <c r="E51" s="135">
        <f>+F51+H51</f>
        <v>1.9</v>
      </c>
      <c r="F51" s="135">
        <v>1.9</v>
      </c>
      <c r="G51" s="135"/>
      <c r="H51" s="135"/>
      <c r="I51" s="1"/>
    </row>
    <row r="52" spans="1:9" ht="12" customHeight="1">
      <c r="A52" s="71">
        <v>41</v>
      </c>
      <c r="B52" s="18"/>
      <c r="C52" s="50" t="s">
        <v>6</v>
      </c>
      <c r="D52" s="33" t="s">
        <v>176</v>
      </c>
      <c r="E52" s="135">
        <f t="shared" si="0"/>
        <v>0.7</v>
      </c>
      <c r="F52" s="135">
        <f>0.2+0.5</f>
        <v>0.7</v>
      </c>
      <c r="G52" s="135"/>
      <c r="H52" s="135"/>
      <c r="I52" s="1"/>
    </row>
    <row r="53" spans="1:9" ht="12" customHeight="1">
      <c r="A53" s="71">
        <v>42</v>
      </c>
      <c r="B53" s="18"/>
      <c r="C53" s="51" t="s">
        <v>12</v>
      </c>
      <c r="D53" s="33" t="s">
        <v>176</v>
      </c>
      <c r="E53" s="135">
        <f>+F53+H53</f>
        <v>0.6</v>
      </c>
      <c r="F53" s="135">
        <v>0.6</v>
      </c>
      <c r="G53" s="135"/>
      <c r="H53" s="135"/>
      <c r="I53" s="1"/>
    </row>
    <row r="54" spans="1:9" ht="12" customHeight="1">
      <c r="A54" s="71">
        <v>43</v>
      </c>
      <c r="B54" s="8"/>
      <c r="C54" s="51" t="s">
        <v>11</v>
      </c>
      <c r="D54" s="105" t="s">
        <v>192</v>
      </c>
      <c r="E54" s="135">
        <f t="shared" si="0"/>
        <v>0.5</v>
      </c>
      <c r="F54" s="135">
        <v>0.5</v>
      </c>
      <c r="G54" s="135"/>
      <c r="H54" s="135"/>
      <c r="I54" s="1"/>
    </row>
    <row r="55" spans="1:9" ht="19.5" customHeight="1">
      <c r="A55" s="71">
        <v>44</v>
      </c>
      <c r="B55" s="8" t="s">
        <v>27</v>
      </c>
      <c r="C55" s="11" t="s">
        <v>28</v>
      </c>
      <c r="D55" s="33"/>
      <c r="E55" s="136">
        <f>+F55+H55</f>
        <v>2.4</v>
      </c>
      <c r="F55" s="136">
        <f>SUM(F56:F59)</f>
        <v>2.4</v>
      </c>
      <c r="G55" s="136">
        <f>SUM(G56:G59)</f>
        <v>0</v>
      </c>
      <c r="H55" s="136">
        <f>SUM(H56:H59)</f>
        <v>0</v>
      </c>
      <c r="I55" s="1"/>
    </row>
    <row r="56" spans="1:9" ht="12" customHeight="1">
      <c r="A56" s="71">
        <v>45</v>
      </c>
      <c r="B56" s="8"/>
      <c r="C56" s="36" t="s">
        <v>29</v>
      </c>
      <c r="D56" s="12" t="s">
        <v>30</v>
      </c>
      <c r="E56" s="135">
        <f t="shared" si="0"/>
        <v>0.6</v>
      </c>
      <c r="F56" s="135">
        <f>1-0.4</f>
        <v>0.6</v>
      </c>
      <c r="G56" s="138"/>
      <c r="H56" s="138"/>
      <c r="I56" s="1"/>
    </row>
    <row r="57" spans="1:9" ht="12" customHeight="1">
      <c r="A57" s="71">
        <v>46</v>
      </c>
      <c r="B57" s="146"/>
      <c r="C57" s="147" t="s">
        <v>8</v>
      </c>
      <c r="D57" s="33" t="s">
        <v>291</v>
      </c>
      <c r="E57" s="135">
        <f>+F57+H57</f>
        <v>0.5</v>
      </c>
      <c r="F57" s="135">
        <v>0.5</v>
      </c>
      <c r="G57" s="135"/>
      <c r="H57" s="135"/>
      <c r="I57" s="1"/>
    </row>
    <row r="58" spans="1:9" ht="12" customHeight="1">
      <c r="A58" s="71">
        <v>47</v>
      </c>
      <c r="B58" s="146"/>
      <c r="C58" s="148" t="s">
        <v>5</v>
      </c>
      <c r="D58" s="33" t="s">
        <v>290</v>
      </c>
      <c r="E58" s="135">
        <f t="shared" si="0"/>
        <v>0.9</v>
      </c>
      <c r="F58" s="135">
        <v>0.9</v>
      </c>
      <c r="G58" s="135"/>
      <c r="H58" s="135"/>
      <c r="I58" s="1"/>
    </row>
    <row r="59" spans="1:9" ht="12" customHeight="1">
      <c r="A59" s="71">
        <v>48</v>
      </c>
      <c r="B59" s="18"/>
      <c r="C59" s="117" t="s">
        <v>9</v>
      </c>
      <c r="D59" s="33" t="s">
        <v>290</v>
      </c>
      <c r="E59" s="135">
        <f t="shared" si="0"/>
        <v>0.4</v>
      </c>
      <c r="F59" s="135">
        <v>0.4</v>
      </c>
      <c r="G59" s="135"/>
      <c r="H59" s="135"/>
      <c r="I59" s="1"/>
    </row>
    <row r="60" spans="1:12" ht="12" customHeight="1">
      <c r="A60" s="71">
        <v>49</v>
      </c>
      <c r="B60" s="18"/>
      <c r="C60" s="241" t="s">
        <v>22</v>
      </c>
      <c r="D60" s="105"/>
      <c r="E60" s="136">
        <f>+F60+H60</f>
        <v>216.8</v>
      </c>
      <c r="F60" s="136">
        <f>+F12+F35+F37+F40+F48+F55</f>
        <v>212.8</v>
      </c>
      <c r="G60" s="136">
        <f>+G12+G35+G37+G40+G48+G55</f>
        <v>21.7</v>
      </c>
      <c r="H60" s="136">
        <f>+H12+H35+H37+H40+H48+H55</f>
        <v>4</v>
      </c>
      <c r="I60" s="1"/>
      <c r="J60" s="1"/>
      <c r="K60" s="1"/>
      <c r="L60" s="1"/>
    </row>
    <row r="61" spans="4:8" ht="12.75">
      <c r="D61" s="16"/>
      <c r="E61" s="17"/>
      <c r="F61" s="17"/>
      <c r="G61" s="17"/>
      <c r="H61" s="17"/>
    </row>
    <row r="62" spans="3:8" ht="12.75">
      <c r="C62" s="2" t="s">
        <v>197</v>
      </c>
      <c r="E62" s="42"/>
      <c r="F62" s="42"/>
      <c r="G62" s="42"/>
      <c r="H62" s="42"/>
    </row>
    <row r="63" spans="5:8" ht="12.75">
      <c r="E63" s="167"/>
      <c r="F63" s="42"/>
      <c r="G63" s="42"/>
      <c r="H63" s="42"/>
    </row>
    <row r="64" spans="5:8" ht="12.75">
      <c r="E64" s="167"/>
      <c r="F64" s="42"/>
      <c r="G64" s="42"/>
      <c r="H64" s="42"/>
    </row>
    <row r="66" ht="12.75">
      <c r="E66" s="209"/>
    </row>
  </sheetData>
  <sheetProtection/>
  <mergeCells count="13">
    <mergeCell ref="C7:C10"/>
    <mergeCell ref="D7:D10"/>
    <mergeCell ref="E7:H7"/>
    <mergeCell ref="E8:E10"/>
    <mergeCell ref="F8:H8"/>
    <mergeCell ref="F9:G9"/>
    <mergeCell ref="C1:H1"/>
    <mergeCell ref="C2:H2"/>
    <mergeCell ref="G3:H3"/>
    <mergeCell ref="H9:H10"/>
    <mergeCell ref="A5:H5"/>
    <mergeCell ref="A7:A10"/>
    <mergeCell ref="B7:B10"/>
  </mergeCells>
  <printOptions/>
  <pageMargins left="0.31496062992125984" right="0" top="0.35433070866141736" bottom="0.1968503937007874"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52"/>
  <sheetViews>
    <sheetView zoomScalePageLayoutView="0" workbookViewId="0" topLeftCell="A1">
      <selection activeCell="O31" sqref="O31"/>
    </sheetView>
  </sheetViews>
  <sheetFormatPr defaultColWidth="9.140625" defaultRowHeight="12.75"/>
  <cols>
    <col min="1" max="1" width="4.421875" style="2" customWidth="1"/>
    <col min="2" max="2" width="4.28125" style="2" customWidth="1"/>
    <col min="3" max="3" width="45.7109375" style="2" customWidth="1"/>
    <col min="4" max="4" width="10.140625" style="6" customWidth="1"/>
    <col min="5" max="5" width="8.140625" style="6" customWidth="1"/>
    <col min="6" max="6" width="8.00390625" style="6" customWidth="1"/>
    <col min="7" max="7" width="8.8515625" style="6" customWidth="1"/>
    <col min="8" max="8" width="6.8515625" style="6" customWidth="1"/>
    <col min="9" max="16384" width="9.140625" style="2" customWidth="1"/>
  </cols>
  <sheetData>
    <row r="1" spans="3:8" ht="15.75">
      <c r="C1" s="291" t="s">
        <v>343</v>
      </c>
      <c r="D1" s="291"/>
      <c r="E1" s="291"/>
      <c r="F1" s="291"/>
      <c r="G1" s="291"/>
      <c r="H1" s="291"/>
    </row>
    <row r="2" spans="3:8" ht="15.75">
      <c r="C2" s="291" t="s">
        <v>927</v>
      </c>
      <c r="D2" s="291"/>
      <c r="E2" s="291"/>
      <c r="F2" s="291"/>
      <c r="G2" s="291"/>
      <c r="H2" s="291"/>
    </row>
    <row r="3" spans="5:8" ht="15.75">
      <c r="E3" s="31"/>
      <c r="F3" s="31"/>
      <c r="G3" s="297" t="s">
        <v>189</v>
      </c>
      <c r="H3" s="297"/>
    </row>
    <row r="4" spans="5:8" ht="15.75">
      <c r="E4" s="31"/>
      <c r="F4" s="31"/>
      <c r="G4" s="31"/>
      <c r="H4" s="31"/>
    </row>
    <row r="5" spans="2:8" ht="28.5" customHeight="1">
      <c r="B5" s="313" t="s">
        <v>458</v>
      </c>
      <c r="C5" s="313"/>
      <c r="D5" s="313"/>
      <c r="E5" s="313"/>
      <c r="F5" s="313"/>
      <c r="G5" s="313"/>
      <c r="H5" s="313"/>
    </row>
    <row r="7" ht="12.75">
      <c r="H7" s="6" t="s">
        <v>396</v>
      </c>
    </row>
    <row r="8" spans="1:8" ht="12.75" customHeight="1">
      <c r="A8" s="300" t="s">
        <v>0</v>
      </c>
      <c r="B8" s="300" t="s">
        <v>32</v>
      </c>
      <c r="C8" s="314" t="s">
        <v>16</v>
      </c>
      <c r="D8" s="316" t="s">
        <v>131</v>
      </c>
      <c r="E8" s="300" t="s">
        <v>17</v>
      </c>
      <c r="F8" s="300" t="s">
        <v>18</v>
      </c>
      <c r="G8" s="300"/>
      <c r="H8" s="300"/>
    </row>
    <row r="9" spans="1:8" ht="12.75" customHeight="1">
      <c r="A9" s="300"/>
      <c r="B9" s="300"/>
      <c r="C9" s="315"/>
      <c r="D9" s="317"/>
      <c r="E9" s="300"/>
      <c r="F9" s="300" t="s">
        <v>190</v>
      </c>
      <c r="G9" s="300"/>
      <c r="H9" s="300" t="s">
        <v>33</v>
      </c>
    </row>
    <row r="10" spans="1:8" ht="49.5" customHeight="1">
      <c r="A10" s="300"/>
      <c r="B10" s="300"/>
      <c r="C10" s="315"/>
      <c r="D10" s="317"/>
      <c r="E10" s="316"/>
      <c r="F10" s="55" t="s">
        <v>34</v>
      </c>
      <c r="G10" s="7" t="s">
        <v>35</v>
      </c>
      <c r="H10" s="300"/>
    </row>
    <row r="11" spans="1:8" ht="12.75">
      <c r="A11" s="7">
        <v>1</v>
      </c>
      <c r="B11" s="7">
        <v>2</v>
      </c>
      <c r="C11" s="56">
        <v>3</v>
      </c>
      <c r="D11" s="68">
        <v>4</v>
      </c>
      <c r="E11" s="7">
        <v>5</v>
      </c>
      <c r="F11" s="7">
        <v>6</v>
      </c>
      <c r="G11" s="56">
        <v>7</v>
      </c>
      <c r="H11" s="7">
        <v>8</v>
      </c>
    </row>
    <row r="12" spans="1:12" ht="19.5" customHeight="1">
      <c r="A12" s="70">
        <v>1</v>
      </c>
      <c r="B12" s="8" t="s">
        <v>134</v>
      </c>
      <c r="C12" s="66" t="s">
        <v>135</v>
      </c>
      <c r="D12" s="39"/>
      <c r="E12" s="173">
        <f>+F12+H12</f>
        <v>659.2</v>
      </c>
      <c r="F12" s="173">
        <f>SUM(F13:F39)</f>
        <v>645.4000000000001</v>
      </c>
      <c r="G12" s="173">
        <f>SUM(G13:G39)</f>
        <v>10.2</v>
      </c>
      <c r="H12" s="173">
        <f>SUM(H13:H39)</f>
        <v>13.8</v>
      </c>
      <c r="I12" s="1"/>
      <c r="J12" s="1"/>
      <c r="K12" s="1"/>
      <c r="L12" s="1"/>
    </row>
    <row r="13" spans="1:12" ht="12" customHeight="1">
      <c r="A13" s="70">
        <v>2</v>
      </c>
      <c r="B13" s="18"/>
      <c r="C13" s="40" t="s">
        <v>246</v>
      </c>
      <c r="D13" s="10" t="s">
        <v>136</v>
      </c>
      <c r="E13" s="194">
        <f>+F13+H13</f>
        <v>37.9</v>
      </c>
      <c r="F13" s="194">
        <f>37.3+0.6</f>
        <v>37.9</v>
      </c>
      <c r="G13" s="194"/>
      <c r="H13" s="194"/>
      <c r="I13" s="1"/>
      <c r="J13" s="1"/>
      <c r="K13" s="1"/>
      <c r="L13" s="1"/>
    </row>
    <row r="14" spans="1:12" ht="12" customHeight="1">
      <c r="A14" s="70">
        <v>3</v>
      </c>
      <c r="B14" s="18"/>
      <c r="C14" s="40" t="s">
        <v>125</v>
      </c>
      <c r="D14" s="10" t="s">
        <v>136</v>
      </c>
      <c r="E14" s="194">
        <f>+F14+H14</f>
        <v>46</v>
      </c>
      <c r="F14" s="194">
        <f>43.5+2.5</f>
        <v>46</v>
      </c>
      <c r="G14" s="194"/>
      <c r="H14" s="194"/>
      <c r="I14" s="1"/>
      <c r="J14" s="1"/>
      <c r="K14" s="1"/>
      <c r="L14" s="1"/>
    </row>
    <row r="15" spans="1:12" ht="12" customHeight="1">
      <c r="A15" s="70">
        <v>4</v>
      </c>
      <c r="B15" s="18"/>
      <c r="C15" s="40" t="s">
        <v>910</v>
      </c>
      <c r="D15" s="10" t="s">
        <v>137</v>
      </c>
      <c r="E15" s="194">
        <f>+F15+H15</f>
        <v>43.800000000000004</v>
      </c>
      <c r="F15" s="194">
        <f>37.1+6.7</f>
        <v>43.800000000000004</v>
      </c>
      <c r="G15" s="194"/>
      <c r="H15" s="194"/>
      <c r="I15" s="1"/>
      <c r="J15" s="1"/>
      <c r="K15" s="1"/>
      <c r="L15" s="1"/>
    </row>
    <row r="16" spans="1:12" ht="12" customHeight="1">
      <c r="A16" s="70">
        <v>5</v>
      </c>
      <c r="B16" s="18"/>
      <c r="C16" s="40" t="s">
        <v>911</v>
      </c>
      <c r="D16" s="10" t="s">
        <v>137</v>
      </c>
      <c r="E16" s="194">
        <f>+F16+H16</f>
        <v>43.6</v>
      </c>
      <c r="F16" s="194">
        <f>43.6</f>
        <v>43.6</v>
      </c>
      <c r="G16" s="194"/>
      <c r="H16" s="194"/>
      <c r="I16" s="1"/>
      <c r="J16" s="1"/>
      <c r="K16" s="1"/>
      <c r="L16" s="1"/>
    </row>
    <row r="17" spans="1:12" ht="12" customHeight="1">
      <c r="A17" s="70">
        <v>6</v>
      </c>
      <c r="B17" s="18"/>
      <c r="C17" s="40" t="s">
        <v>103</v>
      </c>
      <c r="D17" s="10" t="s">
        <v>136</v>
      </c>
      <c r="E17" s="194">
        <f aca="true" t="shared" si="0" ref="E17:E44">+F17+H17</f>
        <v>55</v>
      </c>
      <c r="F17" s="194">
        <f>55</f>
        <v>55</v>
      </c>
      <c r="G17" s="194"/>
      <c r="H17" s="194"/>
      <c r="I17" s="1"/>
      <c r="J17" s="1"/>
      <c r="K17" s="1"/>
      <c r="L17" s="1"/>
    </row>
    <row r="18" spans="1:12" ht="12" customHeight="1">
      <c r="A18" s="70">
        <v>7</v>
      </c>
      <c r="B18" s="18"/>
      <c r="C18" s="40" t="s">
        <v>104</v>
      </c>
      <c r="D18" s="10" t="s">
        <v>136</v>
      </c>
      <c r="E18" s="194">
        <f t="shared" si="0"/>
        <v>32</v>
      </c>
      <c r="F18" s="194">
        <v>32</v>
      </c>
      <c r="G18" s="194"/>
      <c r="H18" s="194"/>
      <c r="I18" s="1"/>
      <c r="J18" s="1"/>
      <c r="K18" s="1"/>
      <c r="L18" s="1"/>
    </row>
    <row r="19" spans="1:12" ht="12" customHeight="1">
      <c r="A19" s="70">
        <v>8</v>
      </c>
      <c r="B19" s="18"/>
      <c r="C19" s="40" t="s">
        <v>126</v>
      </c>
      <c r="D19" s="10" t="s">
        <v>136</v>
      </c>
      <c r="E19" s="194">
        <f t="shared" si="0"/>
        <v>51.1</v>
      </c>
      <c r="F19" s="194">
        <v>50.1</v>
      </c>
      <c r="G19" s="194"/>
      <c r="H19" s="194">
        <v>1</v>
      </c>
      <c r="I19" s="1"/>
      <c r="J19" s="1"/>
      <c r="K19" s="1"/>
      <c r="L19" s="1"/>
    </row>
    <row r="20" spans="1:12" ht="12" customHeight="1">
      <c r="A20" s="70">
        <v>9</v>
      </c>
      <c r="B20" s="18"/>
      <c r="C20" s="36" t="s">
        <v>114</v>
      </c>
      <c r="D20" s="10" t="s">
        <v>137</v>
      </c>
      <c r="E20" s="194">
        <f t="shared" si="0"/>
        <v>36</v>
      </c>
      <c r="F20" s="194">
        <f>36</f>
        <v>36</v>
      </c>
      <c r="G20" s="194"/>
      <c r="H20" s="194"/>
      <c r="I20" s="1"/>
      <c r="J20" s="1"/>
      <c r="K20" s="1"/>
      <c r="L20" s="1"/>
    </row>
    <row r="21" spans="1:12" ht="12" customHeight="1">
      <c r="A21" s="70">
        <v>10</v>
      </c>
      <c r="B21" s="18"/>
      <c r="C21" s="40" t="s">
        <v>115</v>
      </c>
      <c r="D21" s="105" t="s">
        <v>140</v>
      </c>
      <c r="E21" s="194">
        <f t="shared" si="0"/>
        <v>4</v>
      </c>
      <c r="F21" s="194">
        <f>4</f>
        <v>4</v>
      </c>
      <c r="G21" s="194"/>
      <c r="H21" s="194"/>
      <c r="I21" s="1"/>
      <c r="J21" s="1"/>
      <c r="K21" s="1"/>
      <c r="L21" s="1"/>
    </row>
    <row r="22" spans="1:12" ht="12" customHeight="1">
      <c r="A22" s="70">
        <v>11</v>
      </c>
      <c r="B22" s="18"/>
      <c r="C22" s="36" t="s">
        <v>414</v>
      </c>
      <c r="D22" s="10" t="s">
        <v>138</v>
      </c>
      <c r="E22" s="194">
        <f>+F22+H22</f>
        <v>23.8</v>
      </c>
      <c r="F22" s="134">
        <v>23.8</v>
      </c>
      <c r="G22" s="134"/>
      <c r="H22" s="134"/>
      <c r="I22" s="1"/>
      <c r="J22" s="1"/>
      <c r="K22" s="1"/>
      <c r="L22" s="1"/>
    </row>
    <row r="23" spans="1:12" ht="12" customHeight="1">
      <c r="A23" s="70">
        <v>12</v>
      </c>
      <c r="B23" s="18"/>
      <c r="C23" s="36" t="s">
        <v>415</v>
      </c>
      <c r="D23" s="10" t="s">
        <v>138</v>
      </c>
      <c r="E23" s="194">
        <f>+F23+H23</f>
        <v>0.5</v>
      </c>
      <c r="F23" s="134">
        <f>0.5</f>
        <v>0.5</v>
      </c>
      <c r="G23" s="134"/>
      <c r="H23" s="134"/>
      <c r="I23" s="1"/>
      <c r="J23" s="1"/>
      <c r="K23" s="1"/>
      <c r="L23" s="1"/>
    </row>
    <row r="24" spans="1:12" ht="12" customHeight="1">
      <c r="A24" s="70">
        <v>13</v>
      </c>
      <c r="B24" s="18"/>
      <c r="C24" s="36" t="s">
        <v>107</v>
      </c>
      <c r="D24" s="10" t="s">
        <v>138</v>
      </c>
      <c r="E24" s="194">
        <f>+F24+H24</f>
        <v>10.7</v>
      </c>
      <c r="F24" s="134">
        <f>8.6+0.6</f>
        <v>9.2</v>
      </c>
      <c r="G24" s="134"/>
      <c r="H24" s="134">
        <f>1+0.5</f>
        <v>1.5</v>
      </c>
      <c r="I24" s="1"/>
      <c r="J24" s="1"/>
      <c r="K24" s="1"/>
      <c r="L24" s="1"/>
    </row>
    <row r="25" spans="1:12" ht="12" customHeight="1">
      <c r="A25" s="70">
        <v>14</v>
      </c>
      <c r="B25" s="18"/>
      <c r="C25" s="40" t="s">
        <v>420</v>
      </c>
      <c r="D25" s="10" t="s">
        <v>138</v>
      </c>
      <c r="E25" s="194">
        <f>+F25+H25</f>
        <v>0.7</v>
      </c>
      <c r="F25" s="194">
        <f>1-0.3</f>
        <v>0.7</v>
      </c>
      <c r="G25" s="194"/>
      <c r="H25" s="194"/>
      <c r="I25" s="1"/>
      <c r="J25" s="1"/>
      <c r="K25" s="1"/>
      <c r="L25" s="1"/>
    </row>
    <row r="26" spans="1:12" ht="27" customHeight="1">
      <c r="A26" s="70">
        <v>15</v>
      </c>
      <c r="B26" s="18"/>
      <c r="C26" s="36" t="s">
        <v>352</v>
      </c>
      <c r="D26" s="12" t="s">
        <v>191</v>
      </c>
      <c r="E26" s="194">
        <f t="shared" si="0"/>
        <v>1.5</v>
      </c>
      <c r="F26" s="194">
        <f>0.9+0.6</f>
        <v>1.5</v>
      </c>
      <c r="G26" s="194"/>
      <c r="H26" s="194"/>
      <c r="I26" s="1"/>
      <c r="J26" s="1"/>
      <c r="K26" s="1"/>
      <c r="L26" s="1"/>
    </row>
    <row r="27" spans="1:12" ht="12" customHeight="1">
      <c r="A27" s="70">
        <v>16</v>
      </c>
      <c r="B27" s="18"/>
      <c r="C27" s="40" t="s">
        <v>354</v>
      </c>
      <c r="D27" s="12" t="s">
        <v>191</v>
      </c>
      <c r="E27" s="194">
        <f t="shared" si="0"/>
        <v>2</v>
      </c>
      <c r="F27" s="194">
        <f>2</f>
        <v>2</v>
      </c>
      <c r="G27" s="194"/>
      <c r="H27" s="194"/>
      <c r="I27" s="1"/>
      <c r="J27" s="1"/>
      <c r="K27" s="1"/>
      <c r="L27" s="1"/>
    </row>
    <row r="28" spans="1:12" ht="12" customHeight="1">
      <c r="A28" s="70">
        <v>17</v>
      </c>
      <c r="B28" s="18"/>
      <c r="C28" s="36" t="s">
        <v>353</v>
      </c>
      <c r="D28" s="10" t="s">
        <v>139</v>
      </c>
      <c r="E28" s="194">
        <f t="shared" si="0"/>
        <v>6.6</v>
      </c>
      <c r="F28" s="194">
        <f>6+0.6</f>
        <v>6.6</v>
      </c>
      <c r="G28" s="194"/>
      <c r="H28" s="194"/>
      <c r="I28" s="1"/>
      <c r="J28" s="1"/>
      <c r="K28" s="1"/>
      <c r="L28" s="1"/>
    </row>
    <row r="29" spans="1:12" ht="12" customHeight="1">
      <c r="A29" s="70">
        <v>18</v>
      </c>
      <c r="B29" s="18"/>
      <c r="C29" s="36" t="s">
        <v>108</v>
      </c>
      <c r="D29" s="10" t="s">
        <v>139</v>
      </c>
      <c r="E29" s="194">
        <f t="shared" si="0"/>
        <v>1</v>
      </c>
      <c r="F29" s="194">
        <f>1.5-0.5</f>
        <v>1</v>
      </c>
      <c r="G29" s="194"/>
      <c r="H29" s="194"/>
      <c r="I29" s="1"/>
      <c r="J29" s="1"/>
      <c r="K29" s="1"/>
      <c r="L29" s="1"/>
    </row>
    <row r="30" spans="1:12" ht="12" customHeight="1">
      <c r="A30" s="70">
        <v>19</v>
      </c>
      <c r="B30" s="18"/>
      <c r="C30" s="270" t="s">
        <v>417</v>
      </c>
      <c r="D30" s="105" t="s">
        <v>139</v>
      </c>
      <c r="E30" s="194">
        <f t="shared" si="0"/>
        <v>41</v>
      </c>
      <c r="F30" s="134">
        <f>36+5</f>
        <v>41</v>
      </c>
      <c r="G30" s="134"/>
      <c r="H30" s="134"/>
      <c r="I30" s="1"/>
      <c r="J30" s="1"/>
      <c r="K30" s="1"/>
      <c r="L30" s="1"/>
    </row>
    <row r="31" spans="1:12" ht="12" customHeight="1">
      <c r="A31" s="70">
        <v>20</v>
      </c>
      <c r="B31" s="18"/>
      <c r="C31" s="81" t="s">
        <v>109</v>
      </c>
      <c r="D31" s="10" t="s">
        <v>139</v>
      </c>
      <c r="E31" s="194">
        <f t="shared" si="0"/>
        <v>1.1</v>
      </c>
      <c r="F31" s="134">
        <f>0.6+0.5</f>
        <v>1.1</v>
      </c>
      <c r="G31" s="134"/>
      <c r="H31" s="134"/>
      <c r="I31" s="1"/>
      <c r="J31" s="1"/>
      <c r="K31" s="1"/>
      <c r="L31" s="1"/>
    </row>
    <row r="32" spans="1:12" ht="12" customHeight="1">
      <c r="A32" s="70">
        <v>21</v>
      </c>
      <c r="B32" s="18"/>
      <c r="C32" s="36" t="s">
        <v>293</v>
      </c>
      <c r="D32" s="105" t="s">
        <v>140</v>
      </c>
      <c r="E32" s="194">
        <f t="shared" si="0"/>
        <v>31.5</v>
      </c>
      <c r="F32" s="134">
        <f>29.8+1.7</f>
        <v>31.5</v>
      </c>
      <c r="G32" s="134">
        <f>6.1+1.7</f>
        <v>7.8</v>
      </c>
      <c r="H32" s="134"/>
      <c r="I32" s="1"/>
      <c r="J32" s="1"/>
      <c r="K32" s="1"/>
      <c r="L32" s="1"/>
    </row>
    <row r="33" spans="1:12" ht="12" customHeight="1">
      <c r="A33" s="70">
        <v>22</v>
      </c>
      <c r="B33" s="18"/>
      <c r="C33" s="40" t="s">
        <v>118</v>
      </c>
      <c r="D33" s="10" t="s">
        <v>139</v>
      </c>
      <c r="E33" s="194">
        <f t="shared" si="0"/>
        <v>5.5</v>
      </c>
      <c r="F33" s="134">
        <f>6.5-1</f>
        <v>5.5</v>
      </c>
      <c r="G33" s="134"/>
      <c r="H33" s="134"/>
      <c r="I33" s="1"/>
      <c r="J33" s="1"/>
      <c r="K33" s="1"/>
      <c r="L33" s="1"/>
    </row>
    <row r="34" spans="1:12" ht="12" customHeight="1">
      <c r="A34" s="70">
        <v>23</v>
      </c>
      <c r="B34" s="18"/>
      <c r="C34" s="58" t="s">
        <v>127</v>
      </c>
      <c r="D34" s="105" t="s">
        <v>140</v>
      </c>
      <c r="E34" s="194">
        <f t="shared" si="0"/>
        <v>37.1</v>
      </c>
      <c r="F34" s="134">
        <f>31.1+3</f>
        <v>34.1</v>
      </c>
      <c r="G34" s="134">
        <v>2.4</v>
      </c>
      <c r="H34" s="134">
        <f>6-3</f>
        <v>3</v>
      </c>
      <c r="I34" s="1"/>
      <c r="J34" s="1"/>
      <c r="K34" s="1"/>
      <c r="L34" s="1"/>
    </row>
    <row r="35" spans="1:12" ht="12" customHeight="1">
      <c r="A35" s="70">
        <v>24</v>
      </c>
      <c r="B35" s="18"/>
      <c r="C35" s="58" t="s">
        <v>116</v>
      </c>
      <c r="D35" s="105" t="s">
        <v>140</v>
      </c>
      <c r="E35" s="194">
        <f t="shared" si="0"/>
        <v>51</v>
      </c>
      <c r="F35" s="134">
        <f>38+8</f>
        <v>46</v>
      </c>
      <c r="G35" s="134"/>
      <c r="H35" s="134">
        <v>5</v>
      </c>
      <c r="I35" s="1"/>
      <c r="J35" s="1"/>
      <c r="K35" s="1"/>
      <c r="L35" s="1"/>
    </row>
    <row r="36" spans="1:12" ht="12" customHeight="1">
      <c r="A36" s="70">
        <v>25</v>
      </c>
      <c r="B36" s="18"/>
      <c r="C36" s="58" t="s">
        <v>117</v>
      </c>
      <c r="D36" s="105" t="s">
        <v>140</v>
      </c>
      <c r="E36" s="194">
        <f t="shared" si="0"/>
        <v>57</v>
      </c>
      <c r="F36" s="134">
        <f>42.7+11</f>
        <v>53.7</v>
      </c>
      <c r="G36" s="134"/>
      <c r="H36" s="134">
        <f>14.3-11</f>
        <v>3.3000000000000007</v>
      </c>
      <c r="I36" s="1"/>
      <c r="J36" s="1"/>
      <c r="K36" s="1"/>
      <c r="L36" s="1"/>
    </row>
    <row r="37" spans="1:12" ht="12" customHeight="1">
      <c r="A37" s="70">
        <v>26</v>
      </c>
      <c r="B37" s="18"/>
      <c r="C37" s="40" t="s">
        <v>294</v>
      </c>
      <c r="D37" s="105" t="s">
        <v>140</v>
      </c>
      <c r="E37" s="194">
        <f t="shared" si="0"/>
        <v>16</v>
      </c>
      <c r="F37" s="134">
        <v>16</v>
      </c>
      <c r="G37" s="134"/>
      <c r="H37" s="134"/>
      <c r="I37" s="1"/>
      <c r="J37" s="1"/>
      <c r="K37" s="1"/>
      <c r="L37" s="1"/>
    </row>
    <row r="38" spans="1:12" ht="12" customHeight="1">
      <c r="A38" s="70">
        <v>27</v>
      </c>
      <c r="B38" s="18"/>
      <c r="C38" s="58" t="s">
        <v>15</v>
      </c>
      <c r="D38" s="10" t="s">
        <v>136</v>
      </c>
      <c r="E38" s="194">
        <f>+F38+H38</f>
        <v>14</v>
      </c>
      <c r="F38" s="134">
        <f>12+2</f>
        <v>14</v>
      </c>
      <c r="G38" s="134"/>
      <c r="H38" s="134"/>
      <c r="I38" s="1"/>
      <c r="J38" s="1"/>
      <c r="K38" s="1"/>
      <c r="L38" s="1"/>
    </row>
    <row r="39" spans="1:12" ht="12" customHeight="1">
      <c r="A39" s="70">
        <v>28</v>
      </c>
      <c r="B39" s="18"/>
      <c r="C39" s="58" t="s">
        <v>128</v>
      </c>
      <c r="D39" s="10" t="s">
        <v>136</v>
      </c>
      <c r="E39" s="194">
        <f t="shared" si="0"/>
        <v>8.8</v>
      </c>
      <c r="F39" s="134">
        <v>8.8</v>
      </c>
      <c r="G39" s="134"/>
      <c r="H39" s="134"/>
      <c r="I39" s="1"/>
      <c r="J39" s="1"/>
      <c r="K39" s="1"/>
      <c r="L39" s="1"/>
    </row>
    <row r="40" spans="1:12" ht="19.5" customHeight="1">
      <c r="A40" s="70">
        <v>29</v>
      </c>
      <c r="B40" s="8" t="s">
        <v>23</v>
      </c>
      <c r="C40" s="79" t="s">
        <v>24</v>
      </c>
      <c r="D40" s="105"/>
      <c r="E40" s="173">
        <f>+F40+H40</f>
        <v>432.4000000000001</v>
      </c>
      <c r="F40" s="173">
        <f>SUM(F41:F44)</f>
        <v>421.80000000000007</v>
      </c>
      <c r="G40" s="173">
        <f>SUM(G41:G44)</f>
        <v>144.4</v>
      </c>
      <c r="H40" s="173">
        <f>SUM(H41:H44)</f>
        <v>10.6</v>
      </c>
      <c r="I40" s="1"/>
      <c r="J40" s="1"/>
      <c r="K40" s="1"/>
      <c r="L40" s="1"/>
    </row>
    <row r="41" spans="1:12" ht="12" customHeight="1">
      <c r="A41" s="70">
        <v>30</v>
      </c>
      <c r="B41" s="18"/>
      <c r="C41" s="58" t="s">
        <v>2</v>
      </c>
      <c r="D41" s="105" t="s">
        <v>153</v>
      </c>
      <c r="E41" s="194">
        <f t="shared" si="0"/>
        <v>182</v>
      </c>
      <c r="F41" s="194">
        <f>165+9.3</f>
        <v>174.3</v>
      </c>
      <c r="G41" s="194">
        <v>75.3</v>
      </c>
      <c r="H41" s="194">
        <v>7.7</v>
      </c>
      <c r="I41" s="1"/>
      <c r="J41" s="1"/>
      <c r="K41" s="1"/>
      <c r="L41" s="1"/>
    </row>
    <row r="42" spans="1:12" ht="12" customHeight="1">
      <c r="A42" s="70">
        <v>31</v>
      </c>
      <c r="B42" s="18"/>
      <c r="C42" s="58" t="s">
        <v>15</v>
      </c>
      <c r="D42" s="33" t="s">
        <v>153</v>
      </c>
      <c r="E42" s="194">
        <f>+F42+H42</f>
        <v>140.00000000000003</v>
      </c>
      <c r="F42" s="194">
        <f>126.8+5+5.3</f>
        <v>137.10000000000002</v>
      </c>
      <c r="G42" s="194">
        <f>38.1+3</f>
        <v>41.1</v>
      </c>
      <c r="H42" s="194">
        <f>13.2-5-5.3</f>
        <v>2.8999999999999995</v>
      </c>
      <c r="I42" s="1"/>
      <c r="J42" s="1"/>
      <c r="K42" s="1"/>
      <c r="L42" s="1"/>
    </row>
    <row r="43" spans="1:12" ht="12" customHeight="1">
      <c r="A43" s="70">
        <v>32</v>
      </c>
      <c r="B43" s="18"/>
      <c r="C43" s="58" t="s">
        <v>128</v>
      </c>
      <c r="D43" s="33" t="s">
        <v>153</v>
      </c>
      <c r="E43" s="194">
        <f t="shared" si="0"/>
        <v>102.4</v>
      </c>
      <c r="F43" s="194">
        <f>105.4-1-2</f>
        <v>102.4</v>
      </c>
      <c r="G43" s="194">
        <f>24+4</f>
        <v>28</v>
      </c>
      <c r="H43" s="194">
        <f>6-6</f>
        <v>0</v>
      </c>
      <c r="I43" s="1"/>
      <c r="J43" s="1"/>
      <c r="K43" s="1"/>
      <c r="L43" s="1"/>
    </row>
    <row r="44" spans="1:12" ht="12" customHeight="1">
      <c r="A44" s="70">
        <v>33</v>
      </c>
      <c r="B44" s="18"/>
      <c r="C44" s="93" t="s">
        <v>877</v>
      </c>
      <c r="D44" s="33" t="s">
        <v>25</v>
      </c>
      <c r="E44" s="194">
        <f t="shared" si="0"/>
        <v>8</v>
      </c>
      <c r="F44" s="194">
        <v>8</v>
      </c>
      <c r="G44" s="194"/>
      <c r="H44" s="194"/>
      <c r="I44" s="1"/>
      <c r="J44" s="1"/>
      <c r="K44" s="1"/>
      <c r="L44" s="1"/>
    </row>
    <row r="45" spans="1:12" ht="12" customHeight="1">
      <c r="A45" s="70">
        <v>34</v>
      </c>
      <c r="B45" s="18"/>
      <c r="C45" s="64" t="s">
        <v>22</v>
      </c>
      <c r="D45" s="105"/>
      <c r="E45" s="173">
        <f>+F45+H45</f>
        <v>1091.6000000000004</v>
      </c>
      <c r="F45" s="173">
        <f>+F12+F40</f>
        <v>1067.2000000000003</v>
      </c>
      <c r="G45" s="173">
        <f>+G12+G40</f>
        <v>154.6</v>
      </c>
      <c r="H45" s="173">
        <f>+H12+H40</f>
        <v>24.4</v>
      </c>
      <c r="I45" s="1"/>
      <c r="J45" s="1"/>
      <c r="K45" s="1"/>
      <c r="L45" s="1"/>
    </row>
    <row r="46" spans="5:8" ht="12.75">
      <c r="E46" s="42"/>
      <c r="F46" s="42"/>
      <c r="G46" s="42"/>
      <c r="H46" s="42"/>
    </row>
    <row r="47" spans="3:10" ht="12.75">
      <c r="C47" s="2" t="s">
        <v>198</v>
      </c>
      <c r="J47" s="1"/>
    </row>
    <row r="48" spans="5:8" ht="12.75">
      <c r="E48" s="1"/>
      <c r="F48" s="42"/>
      <c r="G48" s="42"/>
      <c r="H48" s="42"/>
    </row>
    <row r="49" spans="5:8" ht="12.75">
      <c r="E49" s="1"/>
      <c r="F49" s="42"/>
      <c r="G49" s="42"/>
      <c r="H49" s="42"/>
    </row>
    <row r="50" spans="5:8" ht="12.75">
      <c r="E50" s="42"/>
      <c r="F50" s="42"/>
      <c r="G50" s="42"/>
      <c r="H50" s="42"/>
    </row>
    <row r="51" ht="12.75">
      <c r="H51" s="42"/>
    </row>
    <row r="52" ht="12.75">
      <c r="E52" s="208"/>
    </row>
  </sheetData>
  <sheetProtection/>
  <mergeCells count="12">
    <mergeCell ref="A8:A10"/>
    <mergeCell ref="B8:B10"/>
    <mergeCell ref="C8:C10"/>
    <mergeCell ref="D8:D10"/>
    <mergeCell ref="E8:E10"/>
    <mergeCell ref="F8:H8"/>
    <mergeCell ref="F9:G9"/>
    <mergeCell ref="H9:H10"/>
    <mergeCell ref="C1:H1"/>
    <mergeCell ref="C2:H2"/>
    <mergeCell ref="G3:H3"/>
    <mergeCell ref="B5:H5"/>
  </mergeCells>
  <printOptions/>
  <pageMargins left="0.5118110236220472" right="0.11811023622047245" top="0.35433070866141736" bottom="0.15748031496062992"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52"/>
  <sheetViews>
    <sheetView zoomScalePageLayoutView="0" workbookViewId="0" topLeftCell="A1">
      <selection activeCell="P17" sqref="P17"/>
    </sheetView>
  </sheetViews>
  <sheetFormatPr defaultColWidth="9.140625" defaultRowHeight="12.75"/>
  <cols>
    <col min="1" max="1" width="5.421875" style="2" customWidth="1"/>
    <col min="2" max="2" width="5.00390625" style="2" customWidth="1"/>
    <col min="3" max="3" width="45.57421875" style="2" customWidth="1"/>
    <col min="4" max="4" width="10.421875" style="3" customWidth="1"/>
    <col min="5" max="5" width="8.421875" style="2" customWidth="1"/>
    <col min="6" max="6" width="8.140625" style="2" customWidth="1"/>
    <col min="7" max="8" width="8.421875" style="2" customWidth="1"/>
    <col min="9" max="9" width="9.57421875" style="5" customWidth="1"/>
    <col min="10" max="16384" width="9.140625" style="2" customWidth="1"/>
  </cols>
  <sheetData>
    <row r="1" spans="3:8" ht="15.75" customHeight="1">
      <c r="C1" s="291" t="s">
        <v>344</v>
      </c>
      <c r="D1" s="291"/>
      <c r="E1" s="291"/>
      <c r="F1" s="291"/>
      <c r="G1" s="291"/>
      <c r="H1" s="291"/>
    </row>
    <row r="2" spans="3:8" ht="15.75" customHeight="1">
      <c r="C2" s="291" t="s">
        <v>928</v>
      </c>
      <c r="D2" s="291"/>
      <c r="E2" s="291"/>
      <c r="F2" s="291"/>
      <c r="G2" s="291"/>
      <c r="H2" s="291"/>
    </row>
    <row r="3" spans="2:9" ht="15.75">
      <c r="B3" s="44"/>
      <c r="E3" s="297" t="s">
        <v>330</v>
      </c>
      <c r="F3" s="297"/>
      <c r="G3" s="297"/>
      <c r="H3" s="297"/>
      <c r="I3" s="2"/>
    </row>
    <row r="4" spans="2:9" ht="15.75">
      <c r="B4" s="44"/>
      <c r="E4" s="31"/>
      <c r="F4" s="31"/>
      <c r="G4" s="31"/>
      <c r="H4" s="31"/>
      <c r="I4" s="2"/>
    </row>
    <row r="5" spans="1:9" ht="30" customHeight="1">
      <c r="A5" s="298" t="s">
        <v>456</v>
      </c>
      <c r="B5" s="298"/>
      <c r="C5" s="298"/>
      <c r="D5" s="298"/>
      <c r="E5" s="298"/>
      <c r="F5" s="298"/>
      <c r="G5" s="298"/>
      <c r="H5" s="298"/>
      <c r="I5" s="2"/>
    </row>
    <row r="6" spans="2:9" ht="12.75">
      <c r="B6" s="44"/>
      <c r="E6" s="6"/>
      <c r="F6" s="6"/>
      <c r="G6" s="299" t="s">
        <v>396</v>
      </c>
      <c r="H6" s="299"/>
      <c r="I6" s="2"/>
    </row>
    <row r="7" spans="1:9" ht="12.75" customHeight="1">
      <c r="A7" s="300" t="s">
        <v>0</v>
      </c>
      <c r="B7" s="309" t="s">
        <v>130</v>
      </c>
      <c r="C7" s="300" t="s">
        <v>16</v>
      </c>
      <c r="D7" s="310" t="s">
        <v>131</v>
      </c>
      <c r="E7" s="300" t="s">
        <v>17</v>
      </c>
      <c r="F7" s="302" t="s">
        <v>18</v>
      </c>
      <c r="G7" s="302"/>
      <c r="H7" s="302"/>
      <c r="I7" s="2"/>
    </row>
    <row r="8" spans="1:9" ht="12.75" customHeight="1">
      <c r="A8" s="301"/>
      <c r="B8" s="309"/>
      <c r="C8" s="300"/>
      <c r="D8" s="310"/>
      <c r="E8" s="300"/>
      <c r="F8" s="302" t="s">
        <v>19</v>
      </c>
      <c r="G8" s="302"/>
      <c r="H8" s="300" t="s">
        <v>132</v>
      </c>
      <c r="I8" s="2"/>
    </row>
    <row r="9" spans="1:9" ht="46.5" customHeight="1">
      <c r="A9" s="301"/>
      <c r="B9" s="309"/>
      <c r="C9" s="300"/>
      <c r="D9" s="310"/>
      <c r="E9" s="300"/>
      <c r="F9" s="7" t="s">
        <v>17</v>
      </c>
      <c r="G9" s="45" t="s">
        <v>133</v>
      </c>
      <c r="H9" s="300"/>
      <c r="I9" s="2"/>
    </row>
    <row r="10" spans="1:9" ht="12.75">
      <c r="A10" s="39">
        <v>1</v>
      </c>
      <c r="B10" s="8" t="s">
        <v>20</v>
      </c>
      <c r="C10" s="7">
        <v>3</v>
      </c>
      <c r="D10" s="9">
        <v>4</v>
      </c>
      <c r="E10" s="7">
        <v>5</v>
      </c>
      <c r="F10" s="7">
        <v>6</v>
      </c>
      <c r="G10" s="7">
        <v>7</v>
      </c>
      <c r="H10" s="7">
        <v>8</v>
      </c>
      <c r="I10" s="2"/>
    </row>
    <row r="11" spans="1:14" ht="19.5" customHeight="1">
      <c r="A11" s="14">
        <v>1</v>
      </c>
      <c r="B11" s="8" t="s">
        <v>134</v>
      </c>
      <c r="C11" s="65" t="s">
        <v>135</v>
      </c>
      <c r="D11" s="9"/>
      <c r="E11" s="139">
        <f aca="true" t="shared" si="0" ref="E11:E23">+F11+H11</f>
        <v>18.7</v>
      </c>
      <c r="F11" s="139">
        <f>+F12</f>
        <v>18.7</v>
      </c>
      <c r="G11" s="139">
        <f>+G12</f>
        <v>0</v>
      </c>
      <c r="H11" s="139">
        <f>+H12</f>
        <v>0</v>
      </c>
      <c r="I11" s="1"/>
      <c r="K11" s="1"/>
      <c r="N11" s="193"/>
    </row>
    <row r="12" spans="1:19" ht="12" customHeight="1">
      <c r="A12" s="14">
        <v>2</v>
      </c>
      <c r="B12" s="10"/>
      <c r="C12" s="94" t="s">
        <v>412</v>
      </c>
      <c r="D12" s="10" t="s">
        <v>140</v>
      </c>
      <c r="E12" s="202">
        <f t="shared" si="0"/>
        <v>18.7</v>
      </c>
      <c r="F12" s="202">
        <v>18.7</v>
      </c>
      <c r="G12" s="202"/>
      <c r="H12" s="202"/>
      <c r="I12" s="1"/>
      <c r="N12" s="193"/>
      <c r="R12" s="1"/>
      <c r="S12" s="46"/>
    </row>
    <row r="13" spans="1:19" ht="15.75" customHeight="1">
      <c r="A13" s="14">
        <v>3</v>
      </c>
      <c r="B13" s="8" t="s">
        <v>23</v>
      </c>
      <c r="C13" s="11" t="s">
        <v>24</v>
      </c>
      <c r="D13" s="10"/>
      <c r="E13" s="203">
        <f t="shared" si="0"/>
        <v>425</v>
      </c>
      <c r="F13" s="203">
        <f>+F14</f>
        <v>3.8</v>
      </c>
      <c r="G13" s="203">
        <f>+G14</f>
        <v>0</v>
      </c>
      <c r="H13" s="203">
        <f>+H14</f>
        <v>421.2</v>
      </c>
      <c r="I13" s="1"/>
      <c r="N13" s="193"/>
      <c r="R13" s="1"/>
      <c r="S13" s="46"/>
    </row>
    <row r="14" spans="1:19" ht="15" customHeight="1">
      <c r="A14" s="14">
        <v>4</v>
      </c>
      <c r="B14" s="8"/>
      <c r="C14" s="43" t="s">
        <v>605</v>
      </c>
      <c r="D14" s="206"/>
      <c r="E14" s="202">
        <f t="shared" si="0"/>
        <v>425</v>
      </c>
      <c r="F14" s="202">
        <f>+F16</f>
        <v>3.8</v>
      </c>
      <c r="G14" s="202">
        <f>+G16</f>
        <v>0</v>
      </c>
      <c r="H14" s="202">
        <f>+H16</f>
        <v>421.2</v>
      </c>
      <c r="I14" s="1"/>
      <c r="N14" s="193"/>
      <c r="R14" s="1"/>
      <c r="S14" s="46"/>
    </row>
    <row r="15" spans="1:19" ht="15" customHeight="1">
      <c r="A15" s="14"/>
      <c r="B15" s="8"/>
      <c r="C15" s="43" t="s">
        <v>154</v>
      </c>
      <c r="D15" s="206"/>
      <c r="E15" s="202"/>
      <c r="F15" s="202"/>
      <c r="G15" s="202"/>
      <c r="H15" s="202"/>
      <c r="I15" s="1"/>
      <c r="N15" s="193"/>
      <c r="R15" s="1"/>
      <c r="S15" s="46"/>
    </row>
    <row r="16" spans="1:19" ht="16.5" customHeight="1">
      <c r="A16" s="14" t="s">
        <v>782</v>
      </c>
      <c r="B16" s="10"/>
      <c r="C16" s="205" t="s">
        <v>388</v>
      </c>
      <c r="D16" s="10" t="s">
        <v>172</v>
      </c>
      <c r="E16" s="202">
        <f t="shared" si="0"/>
        <v>425</v>
      </c>
      <c r="F16" s="202">
        <f>3.8</f>
        <v>3.8</v>
      </c>
      <c r="G16" s="202"/>
      <c r="H16" s="202">
        <f>425-3.8</f>
        <v>421.2</v>
      </c>
      <c r="I16" s="1"/>
      <c r="N16" s="193"/>
      <c r="R16" s="1"/>
      <c r="S16" s="46"/>
    </row>
    <row r="17" spans="1:19" ht="16.5" customHeight="1">
      <c r="A17" s="14">
        <v>5</v>
      </c>
      <c r="B17" s="8" t="s">
        <v>162</v>
      </c>
      <c r="C17" s="11" t="s">
        <v>163</v>
      </c>
      <c r="D17" s="7"/>
      <c r="E17" s="203">
        <f t="shared" si="0"/>
        <v>285.1</v>
      </c>
      <c r="F17" s="203">
        <f>+F18</f>
        <v>18.9</v>
      </c>
      <c r="G17" s="203">
        <f>+G18</f>
        <v>0</v>
      </c>
      <c r="H17" s="203">
        <f>+H18</f>
        <v>266.20000000000005</v>
      </c>
      <c r="I17" s="1"/>
      <c r="N17" s="193"/>
      <c r="R17" s="1"/>
      <c r="S17" s="46"/>
    </row>
    <row r="18" spans="1:19" ht="15" customHeight="1">
      <c r="A18" s="14">
        <v>6</v>
      </c>
      <c r="B18" s="8"/>
      <c r="C18" s="91" t="s">
        <v>605</v>
      </c>
      <c r="D18" s="206"/>
      <c r="E18" s="202">
        <f t="shared" si="0"/>
        <v>285.1</v>
      </c>
      <c r="F18" s="202">
        <f>+F20+F21</f>
        <v>18.9</v>
      </c>
      <c r="G18" s="202">
        <f>+G20+G21</f>
        <v>0</v>
      </c>
      <c r="H18" s="202">
        <f>+H20+H21</f>
        <v>266.20000000000005</v>
      </c>
      <c r="I18" s="1"/>
      <c r="N18" s="193"/>
      <c r="R18" s="1"/>
      <c r="S18" s="46"/>
    </row>
    <row r="19" spans="1:19" ht="15" customHeight="1">
      <c r="A19" s="14"/>
      <c r="B19" s="8"/>
      <c r="C19" s="43" t="s">
        <v>154</v>
      </c>
      <c r="D19" s="179"/>
      <c r="E19" s="202"/>
      <c r="F19" s="202"/>
      <c r="G19" s="202"/>
      <c r="H19" s="202"/>
      <c r="I19" s="1"/>
      <c r="N19" s="193"/>
      <c r="R19" s="1"/>
      <c r="S19" s="46"/>
    </row>
    <row r="20" spans="1:19" ht="26.25" customHeight="1">
      <c r="A20" s="14" t="s">
        <v>784</v>
      </c>
      <c r="B20" s="10"/>
      <c r="C20" s="91" t="s">
        <v>481</v>
      </c>
      <c r="D20" s="142" t="s">
        <v>540</v>
      </c>
      <c r="E20" s="202">
        <f t="shared" si="0"/>
        <v>58.3</v>
      </c>
      <c r="F20" s="202">
        <f>1+14.2</f>
        <v>15.2</v>
      </c>
      <c r="G20" s="202"/>
      <c r="H20" s="202">
        <f>58.3-1-14.2</f>
        <v>43.099999999999994</v>
      </c>
      <c r="I20" s="1"/>
      <c r="N20" s="193"/>
      <c r="R20" s="1"/>
      <c r="S20" s="46"/>
    </row>
    <row r="21" spans="1:19" ht="41.25" customHeight="1">
      <c r="A21" s="14" t="s">
        <v>785</v>
      </c>
      <c r="B21" s="10"/>
      <c r="C21" s="91" t="s">
        <v>915</v>
      </c>
      <c r="D21" s="12" t="s">
        <v>392</v>
      </c>
      <c r="E21" s="202">
        <f t="shared" si="0"/>
        <v>226.8</v>
      </c>
      <c r="F21" s="202">
        <f>2.5+1.2</f>
        <v>3.7</v>
      </c>
      <c r="G21" s="202"/>
      <c r="H21" s="202">
        <f>224.3-1.2</f>
        <v>223.10000000000002</v>
      </c>
      <c r="I21" s="1"/>
      <c r="N21" s="193"/>
      <c r="R21" s="1"/>
      <c r="S21" s="46"/>
    </row>
    <row r="22" spans="1:19" ht="28.5" customHeight="1">
      <c r="A22" s="14">
        <v>7</v>
      </c>
      <c r="B22" s="8" t="s">
        <v>242</v>
      </c>
      <c r="C22" s="97" t="s">
        <v>243</v>
      </c>
      <c r="D22" s="10"/>
      <c r="E22" s="203">
        <f t="shared" si="0"/>
        <v>531.2</v>
      </c>
      <c r="F22" s="203">
        <f>+F23</f>
        <v>26.5</v>
      </c>
      <c r="G22" s="203">
        <f>+G23</f>
        <v>0</v>
      </c>
      <c r="H22" s="203">
        <f>+H23</f>
        <v>504.70000000000005</v>
      </c>
      <c r="I22" s="1"/>
      <c r="N22" s="193"/>
      <c r="R22" s="1"/>
      <c r="S22" s="46"/>
    </row>
    <row r="23" spans="1:19" ht="16.5" customHeight="1">
      <c r="A23" s="14">
        <v>8</v>
      </c>
      <c r="B23" s="8"/>
      <c r="C23" s="43" t="s">
        <v>605</v>
      </c>
      <c r="E23" s="202">
        <f t="shared" si="0"/>
        <v>531.2</v>
      </c>
      <c r="F23" s="202">
        <f>+F25+F26+F27</f>
        <v>26.5</v>
      </c>
      <c r="G23" s="202">
        <f>+G25+G26+G27</f>
        <v>0</v>
      </c>
      <c r="H23" s="202">
        <f>+H25+H26+H27</f>
        <v>504.70000000000005</v>
      </c>
      <c r="I23" s="1"/>
      <c r="N23" s="193"/>
      <c r="R23" s="1"/>
      <c r="S23" s="46"/>
    </row>
    <row r="24" spans="1:19" ht="16.5" customHeight="1">
      <c r="A24" s="14"/>
      <c r="B24" s="8"/>
      <c r="C24" s="43" t="s">
        <v>154</v>
      </c>
      <c r="D24" s="18"/>
      <c r="E24" s="202"/>
      <c r="F24" s="202"/>
      <c r="G24" s="202"/>
      <c r="H24" s="202"/>
      <c r="I24" s="1"/>
      <c r="N24" s="193"/>
      <c r="R24" s="1"/>
      <c r="S24" s="46"/>
    </row>
    <row r="25" spans="1:19" ht="42.75" customHeight="1">
      <c r="A25" s="14" t="s">
        <v>786</v>
      </c>
      <c r="B25" s="10"/>
      <c r="C25" s="205" t="s">
        <v>482</v>
      </c>
      <c r="D25" s="10" t="s">
        <v>542</v>
      </c>
      <c r="E25" s="202">
        <f>+F25+H25</f>
        <v>20</v>
      </c>
      <c r="F25" s="202">
        <f>50-30</f>
        <v>20</v>
      </c>
      <c r="G25" s="202"/>
      <c r="H25" s="202">
        <f>50-50</f>
        <v>0</v>
      </c>
      <c r="I25" s="1"/>
      <c r="N25" s="193"/>
      <c r="R25" s="1"/>
      <c r="S25" s="46"/>
    </row>
    <row r="26" spans="1:19" ht="21" customHeight="1">
      <c r="A26" s="14" t="s">
        <v>787</v>
      </c>
      <c r="B26" s="10"/>
      <c r="C26" s="205" t="s">
        <v>409</v>
      </c>
      <c r="D26" s="10" t="s">
        <v>319</v>
      </c>
      <c r="E26" s="202">
        <f>+F26+H26</f>
        <v>401.20000000000005</v>
      </c>
      <c r="F26" s="202">
        <f>4.1+0.7</f>
        <v>4.8</v>
      </c>
      <c r="G26" s="202"/>
      <c r="H26" s="202">
        <f>398-0.7-0.9</f>
        <v>396.40000000000003</v>
      </c>
      <c r="I26" s="1"/>
      <c r="N26" s="193"/>
      <c r="R26" s="1"/>
      <c r="S26" s="46"/>
    </row>
    <row r="27" spans="1:19" ht="42.75" customHeight="1">
      <c r="A27" s="14" t="s">
        <v>788</v>
      </c>
      <c r="B27" s="10"/>
      <c r="C27" s="196" t="s">
        <v>489</v>
      </c>
      <c r="D27" s="10" t="s">
        <v>542</v>
      </c>
      <c r="E27" s="202">
        <f>+F27+H27</f>
        <v>110</v>
      </c>
      <c r="F27" s="202">
        <v>1.7</v>
      </c>
      <c r="G27" s="202"/>
      <c r="H27" s="202">
        <v>108.3</v>
      </c>
      <c r="I27" s="1"/>
      <c r="N27" s="193"/>
      <c r="R27" s="1"/>
      <c r="S27" s="46"/>
    </row>
    <row r="28" spans="1:19" ht="22.5" customHeight="1">
      <c r="A28" s="14">
        <v>9</v>
      </c>
      <c r="B28" s="8" t="s">
        <v>168</v>
      </c>
      <c r="C28" s="114" t="s">
        <v>169</v>
      </c>
      <c r="D28" s="10"/>
      <c r="E28" s="203">
        <f>+F28+H28</f>
        <v>353.3</v>
      </c>
      <c r="F28" s="203">
        <f>+F29</f>
        <v>5.1</v>
      </c>
      <c r="G28" s="203">
        <f>+G29</f>
        <v>0</v>
      </c>
      <c r="H28" s="203">
        <f>+H29</f>
        <v>348.2</v>
      </c>
      <c r="I28" s="1"/>
      <c r="N28" s="193"/>
      <c r="R28" s="1"/>
      <c r="S28" s="46"/>
    </row>
    <row r="29" spans="1:19" ht="15.75" customHeight="1">
      <c r="A29" s="14">
        <v>10</v>
      </c>
      <c r="B29" s="10"/>
      <c r="C29" s="43" t="s">
        <v>605</v>
      </c>
      <c r="D29" s="12"/>
      <c r="E29" s="202">
        <f>+F29+H29</f>
        <v>353.3</v>
      </c>
      <c r="F29" s="202">
        <f>+F31+F32</f>
        <v>5.1</v>
      </c>
      <c r="G29" s="202">
        <f>+G31+G32</f>
        <v>0</v>
      </c>
      <c r="H29" s="202">
        <f>+H31+H32</f>
        <v>348.2</v>
      </c>
      <c r="I29" s="1"/>
      <c r="N29" s="193"/>
      <c r="R29" s="1"/>
      <c r="S29" s="46"/>
    </row>
    <row r="30" spans="1:19" ht="15.75" customHeight="1">
      <c r="A30" s="14"/>
      <c r="B30" s="10"/>
      <c r="C30" s="43" t="s">
        <v>154</v>
      </c>
      <c r="D30" s="12"/>
      <c r="E30" s="202"/>
      <c r="F30" s="202"/>
      <c r="G30" s="202"/>
      <c r="H30" s="202"/>
      <c r="I30" s="1"/>
      <c r="N30" s="193"/>
      <c r="R30" s="1"/>
      <c r="S30" s="46"/>
    </row>
    <row r="31" spans="1:19" ht="17.25" customHeight="1">
      <c r="A31" s="14" t="s">
        <v>789</v>
      </c>
      <c r="B31" s="10"/>
      <c r="C31" s="195" t="s">
        <v>370</v>
      </c>
      <c r="D31" s="12" t="s">
        <v>319</v>
      </c>
      <c r="E31" s="202">
        <f>+F31+H31</f>
        <v>13.3</v>
      </c>
      <c r="F31" s="202"/>
      <c r="G31" s="202"/>
      <c r="H31" s="202">
        <v>13.3</v>
      </c>
      <c r="I31" s="1"/>
      <c r="N31" s="193"/>
      <c r="R31" s="1"/>
      <c r="S31" s="46"/>
    </row>
    <row r="32" spans="1:19" ht="42.75" customHeight="1">
      <c r="A32" s="14" t="s">
        <v>929</v>
      </c>
      <c r="B32" s="10"/>
      <c r="C32" s="195" t="s">
        <v>505</v>
      </c>
      <c r="D32" s="12" t="s">
        <v>548</v>
      </c>
      <c r="E32" s="202">
        <f>+F32+H32</f>
        <v>340</v>
      </c>
      <c r="F32" s="202">
        <v>5.1</v>
      </c>
      <c r="G32" s="202"/>
      <c r="H32" s="202">
        <v>334.9</v>
      </c>
      <c r="I32" s="1"/>
      <c r="N32" s="193"/>
      <c r="R32" s="1"/>
      <c r="S32" s="46"/>
    </row>
    <row r="33" spans="1:19" ht="17.25" customHeight="1">
      <c r="A33" s="14">
        <v>11</v>
      </c>
      <c r="B33" s="8" t="s">
        <v>173</v>
      </c>
      <c r="C33" s="11" t="s">
        <v>174</v>
      </c>
      <c r="D33" s="10"/>
      <c r="E33" s="203">
        <f>+F33+H33</f>
        <v>110</v>
      </c>
      <c r="F33" s="203">
        <f>+F34</f>
        <v>110</v>
      </c>
      <c r="G33" s="203">
        <f>+G34</f>
        <v>0</v>
      </c>
      <c r="H33" s="203">
        <f>+H34</f>
        <v>0</v>
      </c>
      <c r="I33" s="1"/>
      <c r="N33" s="193"/>
      <c r="R33" s="1"/>
      <c r="S33" s="46"/>
    </row>
    <row r="34" spans="1:19" ht="17.25" customHeight="1">
      <c r="A34" s="14">
        <v>12</v>
      </c>
      <c r="B34" s="10"/>
      <c r="C34" s="43" t="s">
        <v>605</v>
      </c>
      <c r="D34" s="10"/>
      <c r="E34" s="202">
        <f>+F34+H34</f>
        <v>110</v>
      </c>
      <c r="F34" s="202">
        <f>+F36</f>
        <v>110</v>
      </c>
      <c r="G34" s="202">
        <f>+G36</f>
        <v>0</v>
      </c>
      <c r="H34" s="202">
        <f>+H36</f>
        <v>0</v>
      </c>
      <c r="I34" s="1"/>
      <c r="N34" s="193"/>
      <c r="R34" s="1"/>
      <c r="S34" s="46"/>
    </row>
    <row r="35" spans="1:19" ht="17.25" customHeight="1">
      <c r="A35" s="14"/>
      <c r="B35" s="10"/>
      <c r="C35" s="43" t="s">
        <v>154</v>
      </c>
      <c r="D35" s="10"/>
      <c r="E35" s="202"/>
      <c r="F35" s="202"/>
      <c r="G35" s="202"/>
      <c r="H35" s="202"/>
      <c r="I35" s="1"/>
      <c r="N35" s="193"/>
      <c r="R35" s="1"/>
      <c r="S35" s="46"/>
    </row>
    <row r="36" spans="1:19" ht="29.25" customHeight="1">
      <c r="A36" s="14" t="s">
        <v>790</v>
      </c>
      <c r="B36" s="10"/>
      <c r="C36" s="195" t="s">
        <v>515</v>
      </c>
      <c r="D36" s="10" t="s">
        <v>549</v>
      </c>
      <c r="E36" s="202">
        <f>+F36+H36</f>
        <v>110</v>
      </c>
      <c r="F36" s="202">
        <v>110</v>
      </c>
      <c r="G36" s="202"/>
      <c r="H36" s="202"/>
      <c r="I36" s="1"/>
      <c r="N36" s="193"/>
      <c r="R36" s="1"/>
      <c r="S36" s="46"/>
    </row>
    <row r="37" spans="1:14" ht="15.75" customHeight="1">
      <c r="A37" s="14">
        <v>13</v>
      </c>
      <c r="B37" s="10"/>
      <c r="C37" s="64" t="s">
        <v>22</v>
      </c>
      <c r="D37" s="10"/>
      <c r="E37" s="136">
        <f>+F37+H37</f>
        <v>1723.3000000000002</v>
      </c>
      <c r="F37" s="136">
        <f>+F11+F13+F17+F22+F28+F33</f>
        <v>183</v>
      </c>
      <c r="G37" s="136">
        <f>+G11+G13+G17+G22+G28+G33</f>
        <v>0</v>
      </c>
      <c r="H37" s="136">
        <f>+H11+H13+H17+H22+H28+H33</f>
        <v>1540.3000000000002</v>
      </c>
      <c r="I37" s="1"/>
      <c r="J37" s="1"/>
      <c r="K37" s="1"/>
      <c r="L37" s="1"/>
      <c r="M37" s="1"/>
      <c r="N37" s="193"/>
    </row>
    <row r="38" spans="3:9" ht="12.75">
      <c r="C38" s="21" t="s">
        <v>278</v>
      </c>
      <c r="D38" s="27"/>
      <c r="E38" s="30"/>
      <c r="F38" s="30"/>
      <c r="G38" s="1"/>
      <c r="H38" s="1"/>
      <c r="I38" s="2"/>
    </row>
    <row r="39" spans="4:10" ht="12.75">
      <c r="D39" s="2"/>
      <c r="E39" s="1"/>
      <c r="F39" s="1"/>
      <c r="G39" s="1"/>
      <c r="H39" s="1"/>
      <c r="I39" s="2"/>
      <c r="J39" s="1"/>
    </row>
    <row r="40" spans="4:9" ht="12.75">
      <c r="D40" s="2"/>
      <c r="E40" s="1"/>
      <c r="F40" s="84"/>
      <c r="G40" s="84"/>
      <c r="H40" s="84"/>
      <c r="I40" s="2"/>
    </row>
    <row r="41" spans="5:10" ht="12.75">
      <c r="E41" s="1"/>
      <c r="F41" s="84"/>
      <c r="G41" s="84"/>
      <c r="H41" s="84"/>
      <c r="I41" s="1"/>
      <c r="J41" s="1"/>
    </row>
    <row r="42" spans="5:10" ht="12.75">
      <c r="E42" s="84"/>
      <c r="F42" s="1"/>
      <c r="G42" s="1"/>
      <c r="H42" s="1"/>
      <c r="I42" s="1"/>
      <c r="J42" s="1"/>
    </row>
    <row r="43" spans="3:6" ht="12.75">
      <c r="C43" s="23"/>
      <c r="E43" s="1"/>
      <c r="F43" s="84"/>
    </row>
    <row r="44" spans="5:7" ht="12.75">
      <c r="E44" s="1"/>
      <c r="F44" s="1"/>
      <c r="G44" s="1"/>
    </row>
    <row r="45" spans="3:8" ht="12.75">
      <c r="C45" s="6"/>
      <c r="D45" s="6"/>
      <c r="E45" s="1"/>
      <c r="F45" s="1"/>
      <c r="G45" s="1"/>
      <c r="H45" s="1"/>
    </row>
    <row r="46" spans="3:7" ht="12.75">
      <c r="C46" s="6"/>
      <c r="D46" s="6"/>
      <c r="E46" s="1"/>
      <c r="F46" s="1"/>
      <c r="G46" s="1"/>
    </row>
    <row r="47" spans="5:8" ht="12.75">
      <c r="E47" s="30"/>
      <c r="F47" s="1"/>
      <c r="G47" s="1"/>
      <c r="H47" s="1"/>
    </row>
    <row r="48" spans="5:8" ht="12.75">
      <c r="E48" s="30"/>
      <c r="F48" s="30"/>
      <c r="G48" s="30"/>
      <c r="H48" s="30"/>
    </row>
    <row r="49" ht="12.75">
      <c r="E49" s="30"/>
    </row>
    <row r="50" spans="5:8" ht="12.75">
      <c r="E50" s="1"/>
      <c r="F50" s="1"/>
      <c r="G50" s="1"/>
      <c r="H50" s="1"/>
    </row>
    <row r="52" spans="5:9" ht="12.75">
      <c r="E52" s="1"/>
      <c r="F52" s="1"/>
      <c r="G52" s="1"/>
      <c r="H52" s="1"/>
      <c r="I52" s="67"/>
    </row>
  </sheetData>
  <sheetProtection/>
  <mergeCells count="13">
    <mergeCell ref="H8:H9"/>
    <mergeCell ref="E3:H3"/>
    <mergeCell ref="A5:H5"/>
    <mergeCell ref="G6:H6"/>
    <mergeCell ref="A7:A9"/>
    <mergeCell ref="B7:B9"/>
    <mergeCell ref="C1:H1"/>
    <mergeCell ref="C2:H2"/>
    <mergeCell ref="C7:C9"/>
    <mergeCell ref="D7:D9"/>
    <mergeCell ref="E7:E9"/>
    <mergeCell ref="F7:H7"/>
    <mergeCell ref="F8:G8"/>
  </mergeCells>
  <printOptions/>
  <pageMargins left="0.31496062992125984" right="0.11811023622047245" top="0.35433070866141736" bottom="0.15748031496062992"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26"/>
  <sheetViews>
    <sheetView zoomScalePageLayoutView="0" workbookViewId="0" topLeftCell="A1">
      <selection activeCell="E123" sqref="E123"/>
    </sheetView>
  </sheetViews>
  <sheetFormatPr defaultColWidth="9.140625" defaultRowHeight="12.75"/>
  <cols>
    <col min="1" max="1" width="6.140625" style="2" customWidth="1"/>
    <col min="2" max="2" width="5.421875" style="3" customWidth="1"/>
    <col min="3" max="3" width="51.57421875" style="23" customWidth="1"/>
    <col min="4" max="4" width="9.28125" style="106" customWidth="1"/>
    <col min="5" max="5" width="7.00390625" style="6" customWidth="1"/>
    <col min="6" max="7" width="8.140625" style="6" customWidth="1"/>
    <col min="8" max="8" width="6.00390625" style="6" customWidth="1"/>
    <col min="9" max="9" width="8.28125" style="2" customWidth="1"/>
    <col min="10" max="10" width="9.57421875" style="2" customWidth="1"/>
    <col min="11" max="16384" width="9.140625" style="2" customWidth="1"/>
  </cols>
  <sheetData>
    <row r="1" spans="3:8" ht="15.75">
      <c r="C1" s="291" t="s">
        <v>346</v>
      </c>
      <c r="D1" s="291"/>
      <c r="E1" s="291"/>
      <c r="F1" s="291"/>
      <c r="G1" s="291"/>
      <c r="H1" s="291"/>
    </row>
    <row r="2" spans="3:8" ht="15.75">
      <c r="C2" s="291" t="s">
        <v>930</v>
      </c>
      <c r="D2" s="291"/>
      <c r="E2" s="291"/>
      <c r="F2" s="291"/>
      <c r="G2" s="291"/>
      <c r="H2" s="291"/>
    </row>
    <row r="3" spans="3:8" ht="15.75">
      <c r="C3" s="291" t="s">
        <v>329</v>
      </c>
      <c r="D3" s="291"/>
      <c r="E3" s="291"/>
      <c r="F3" s="291"/>
      <c r="G3" s="291"/>
      <c r="H3" s="291"/>
    </row>
    <row r="4" spans="3:8" ht="12" customHeight="1">
      <c r="C4" s="15"/>
      <c r="D4" s="15"/>
      <c r="E4" s="15"/>
      <c r="F4" s="15"/>
      <c r="G4" s="15"/>
      <c r="H4" s="15"/>
    </row>
    <row r="5" spans="1:8" ht="25.5" customHeight="1">
      <c r="A5" s="319" t="s">
        <v>438</v>
      </c>
      <c r="B5" s="319"/>
      <c r="C5" s="319"/>
      <c r="D5" s="319"/>
      <c r="E5" s="319"/>
      <c r="F5" s="319"/>
      <c r="G5" s="319"/>
      <c r="H5" s="319"/>
    </row>
    <row r="6" ht="12.75">
      <c r="H6" s="6" t="s">
        <v>396</v>
      </c>
    </row>
    <row r="7" spans="1:8" ht="35.25" customHeight="1">
      <c r="A7" s="300" t="s">
        <v>31</v>
      </c>
      <c r="B7" s="310" t="s">
        <v>32</v>
      </c>
      <c r="C7" s="300" t="s">
        <v>16</v>
      </c>
      <c r="D7" s="310" t="s">
        <v>54</v>
      </c>
      <c r="E7" s="300" t="s">
        <v>55</v>
      </c>
      <c r="F7" s="300"/>
      <c r="G7" s="300"/>
      <c r="H7" s="300"/>
    </row>
    <row r="8" spans="1:8" ht="12.75">
      <c r="A8" s="300"/>
      <c r="B8" s="310"/>
      <c r="C8" s="300"/>
      <c r="D8" s="310"/>
      <c r="E8" s="300" t="s">
        <v>17</v>
      </c>
      <c r="F8" s="318" t="s">
        <v>18</v>
      </c>
      <c r="G8" s="318"/>
      <c r="H8" s="318"/>
    </row>
    <row r="9" spans="1:8" ht="12.75">
      <c r="A9" s="300"/>
      <c r="B9" s="310"/>
      <c r="C9" s="300"/>
      <c r="D9" s="310"/>
      <c r="E9" s="300"/>
      <c r="F9" s="318" t="s">
        <v>19</v>
      </c>
      <c r="G9" s="318"/>
      <c r="H9" s="24"/>
    </row>
    <row r="10" spans="1:8" ht="51.75" customHeight="1">
      <c r="A10" s="300"/>
      <c r="B10" s="310"/>
      <c r="C10" s="300"/>
      <c r="D10" s="310"/>
      <c r="E10" s="300"/>
      <c r="F10" s="7" t="s">
        <v>34</v>
      </c>
      <c r="G10" s="7" t="s">
        <v>35</v>
      </c>
      <c r="H10" s="7" t="s">
        <v>33</v>
      </c>
    </row>
    <row r="11" spans="1:8" s="15" customFormat="1" ht="12" customHeight="1">
      <c r="A11" s="39">
        <v>1</v>
      </c>
      <c r="B11" s="9" t="s">
        <v>20</v>
      </c>
      <c r="C11" s="7">
        <v>3</v>
      </c>
      <c r="D11" s="9" t="s">
        <v>56</v>
      </c>
      <c r="E11" s="7">
        <v>5</v>
      </c>
      <c r="F11" s="7">
        <v>6</v>
      </c>
      <c r="G11" s="7">
        <v>7</v>
      </c>
      <c r="H11" s="7">
        <v>8</v>
      </c>
    </row>
    <row r="12" spans="1:12" s="15" customFormat="1" ht="19.5" customHeight="1">
      <c r="A12" s="70">
        <v>1</v>
      </c>
      <c r="B12" s="9" t="s">
        <v>145</v>
      </c>
      <c r="C12" s="65" t="s">
        <v>146</v>
      </c>
      <c r="D12" s="9"/>
      <c r="E12" s="119">
        <f>SUM(E13+E15+E17)</f>
        <v>211.5</v>
      </c>
      <c r="F12" s="119">
        <f>SUM(F13+F15+F17)</f>
        <v>211.5</v>
      </c>
      <c r="G12" s="119">
        <f>SUM(G13+G15+G17)</f>
        <v>124.10000000000001</v>
      </c>
      <c r="H12" s="119">
        <f>SUM(H13+H15+H17)</f>
        <v>0</v>
      </c>
      <c r="I12" s="6"/>
      <c r="J12" s="6"/>
      <c r="K12" s="6"/>
      <c r="L12" s="6"/>
    </row>
    <row r="13" spans="1:12" s="15" customFormat="1" ht="12" customHeight="1">
      <c r="A13" s="70">
        <v>2</v>
      </c>
      <c r="B13" s="9"/>
      <c r="C13" s="25" t="s">
        <v>282</v>
      </c>
      <c r="D13" s="12" t="s">
        <v>147</v>
      </c>
      <c r="E13" s="126">
        <f>+E14</f>
        <v>124.39999999999999</v>
      </c>
      <c r="F13" s="126">
        <f>+F14</f>
        <v>124.39999999999999</v>
      </c>
      <c r="G13" s="126">
        <f>+G14</f>
        <v>76.5</v>
      </c>
      <c r="H13" s="126"/>
      <c r="I13" s="42"/>
      <c r="J13" s="244"/>
      <c r="K13" s="42"/>
      <c r="L13" s="42"/>
    </row>
    <row r="14" spans="1:12" s="15" customFormat="1" ht="12" customHeight="1">
      <c r="A14" s="70">
        <v>3</v>
      </c>
      <c r="B14" s="9"/>
      <c r="C14" s="49" t="s">
        <v>124</v>
      </c>
      <c r="D14" s="9"/>
      <c r="E14" s="127">
        <f>+F14+H14</f>
        <v>124.39999999999999</v>
      </c>
      <c r="F14" s="127">
        <f>122.1+2.3</f>
        <v>124.39999999999999</v>
      </c>
      <c r="G14" s="127">
        <f>74.7+1.8</f>
        <v>76.5</v>
      </c>
      <c r="H14" s="127"/>
      <c r="I14" s="42"/>
      <c r="J14" s="42"/>
      <c r="K14" s="42"/>
      <c r="L14" s="42"/>
    </row>
    <row r="15" spans="1:12" s="15" customFormat="1" ht="12" customHeight="1">
      <c r="A15" s="70">
        <v>4</v>
      </c>
      <c r="B15" s="9"/>
      <c r="C15" s="25" t="s">
        <v>283</v>
      </c>
      <c r="D15" s="12" t="s">
        <v>147</v>
      </c>
      <c r="E15" s="126">
        <f>+E16</f>
        <v>81.3</v>
      </c>
      <c r="F15" s="126">
        <f>+F16</f>
        <v>81.3</v>
      </c>
      <c r="G15" s="126">
        <f>+G16</f>
        <v>43.2</v>
      </c>
      <c r="H15" s="126"/>
      <c r="I15" s="42"/>
      <c r="J15" s="42"/>
      <c r="K15" s="42"/>
      <c r="L15" s="42"/>
    </row>
    <row r="16" spans="1:12" s="15" customFormat="1" ht="12" customHeight="1">
      <c r="A16" s="70">
        <v>5</v>
      </c>
      <c r="B16" s="9"/>
      <c r="C16" s="49" t="s">
        <v>124</v>
      </c>
      <c r="D16" s="9"/>
      <c r="E16" s="127">
        <f>+F16+H16</f>
        <v>81.3</v>
      </c>
      <c r="F16" s="127">
        <f>79.8+1.5</f>
        <v>81.3</v>
      </c>
      <c r="G16" s="127">
        <f>42+1.2</f>
        <v>43.2</v>
      </c>
      <c r="H16" s="127"/>
      <c r="I16" s="42"/>
      <c r="J16" s="42"/>
      <c r="K16" s="42"/>
      <c r="L16" s="42"/>
    </row>
    <row r="17" spans="1:12" s="15" customFormat="1" ht="12" customHeight="1">
      <c r="A17" s="70">
        <v>6</v>
      </c>
      <c r="B17" s="9"/>
      <c r="C17" s="25" t="s">
        <v>439</v>
      </c>
      <c r="D17" s="12" t="s">
        <v>151</v>
      </c>
      <c r="E17" s="126">
        <f>+E18</f>
        <v>5.8</v>
      </c>
      <c r="F17" s="126">
        <f>+F18</f>
        <v>5.8</v>
      </c>
      <c r="G17" s="126">
        <f>+G18</f>
        <v>4.4</v>
      </c>
      <c r="H17" s="126">
        <f>+H18</f>
        <v>0</v>
      </c>
      <c r="I17" s="42"/>
      <c r="J17" s="42"/>
      <c r="K17" s="42"/>
      <c r="L17" s="42"/>
    </row>
    <row r="18" spans="1:12" s="15" customFormat="1" ht="12" customHeight="1">
      <c r="A18" s="70">
        <v>7</v>
      </c>
      <c r="B18" s="9"/>
      <c r="C18" s="102" t="s">
        <v>3</v>
      </c>
      <c r="D18" s="9"/>
      <c r="E18" s="127">
        <f>+F18+H18</f>
        <v>5.8</v>
      </c>
      <c r="F18" s="127">
        <v>5.8</v>
      </c>
      <c r="G18" s="127">
        <v>4.4</v>
      </c>
      <c r="H18" s="127"/>
      <c r="I18" s="42"/>
      <c r="J18" s="42"/>
      <c r="K18" s="42"/>
      <c r="L18" s="42"/>
    </row>
    <row r="19" spans="1:12" ht="19.5" customHeight="1">
      <c r="A19" s="70">
        <v>8</v>
      </c>
      <c r="B19" s="8" t="s">
        <v>23</v>
      </c>
      <c r="C19" s="11" t="s">
        <v>24</v>
      </c>
      <c r="D19" s="10"/>
      <c r="E19" s="136">
        <f>SUM(E20+E26+E39+E52+E54)</f>
        <v>1257.4</v>
      </c>
      <c r="F19" s="136">
        <f>SUM(F20+F26+F39+F52+F54)</f>
        <v>1249.8000000000002</v>
      </c>
      <c r="G19" s="136">
        <f>SUM(G20+G26+G39+G52+G54)</f>
        <v>393.1000000000001</v>
      </c>
      <c r="H19" s="119">
        <f>SUM(H20+H26+H39+H52+H54)</f>
        <v>7.6</v>
      </c>
      <c r="I19" s="42"/>
      <c r="J19" s="42"/>
      <c r="K19" s="42"/>
      <c r="L19" s="42"/>
    </row>
    <row r="20" spans="1:12" ht="24.75" customHeight="1">
      <c r="A20" s="70">
        <v>9</v>
      </c>
      <c r="B20" s="10" t="s">
        <v>57</v>
      </c>
      <c r="C20" s="25" t="s">
        <v>58</v>
      </c>
      <c r="D20" s="105" t="s">
        <v>26</v>
      </c>
      <c r="E20" s="128">
        <f>SUM(E21:E25)</f>
        <v>428.59999999999997</v>
      </c>
      <c r="F20" s="128">
        <f>SUM(F21:F25)</f>
        <v>421</v>
      </c>
      <c r="G20" s="128">
        <f>SUM(G21:G25)</f>
        <v>191.4</v>
      </c>
      <c r="H20" s="128">
        <f>SUM(H21:H25)</f>
        <v>7.6</v>
      </c>
      <c r="I20" s="42"/>
      <c r="J20" s="42"/>
      <c r="K20" s="42"/>
      <c r="L20" s="42"/>
    </row>
    <row r="21" spans="1:12" ht="12" customHeight="1">
      <c r="A21" s="70">
        <v>10</v>
      </c>
      <c r="B21" s="10"/>
      <c r="C21" s="91" t="s">
        <v>1</v>
      </c>
      <c r="D21" s="105"/>
      <c r="E21" s="118">
        <f>+F21+H21</f>
        <v>131.3</v>
      </c>
      <c r="F21" s="118">
        <f>106+25</f>
        <v>131</v>
      </c>
      <c r="G21" s="118">
        <f>77+11</f>
        <v>88</v>
      </c>
      <c r="H21" s="118">
        <v>0.3</v>
      </c>
      <c r="I21" s="42"/>
      <c r="J21" s="42"/>
      <c r="K21" s="42"/>
      <c r="L21" s="42"/>
    </row>
    <row r="22" spans="1:12" ht="12" customHeight="1">
      <c r="A22" s="70">
        <v>11</v>
      </c>
      <c r="B22" s="10"/>
      <c r="C22" s="13" t="s">
        <v>2</v>
      </c>
      <c r="D22" s="105"/>
      <c r="E22" s="118">
        <f>+F22+H22</f>
        <v>89.89999999999999</v>
      </c>
      <c r="F22" s="118">
        <f>78.1+5.5</f>
        <v>83.6</v>
      </c>
      <c r="G22" s="118">
        <f>49.2+1.2</f>
        <v>50.400000000000006</v>
      </c>
      <c r="H22" s="118">
        <v>6.3</v>
      </c>
      <c r="I22" s="42"/>
      <c r="J22" s="42"/>
      <c r="K22" s="42"/>
      <c r="L22" s="42"/>
    </row>
    <row r="23" spans="1:12" ht="12" customHeight="1">
      <c r="A23" s="70">
        <v>12</v>
      </c>
      <c r="B23" s="10"/>
      <c r="C23" s="13" t="s">
        <v>15</v>
      </c>
      <c r="D23" s="105"/>
      <c r="E23" s="118">
        <f>+F23+H23</f>
        <v>68.6</v>
      </c>
      <c r="F23" s="118">
        <f>58.6+9</f>
        <v>67.6</v>
      </c>
      <c r="G23" s="118">
        <f>26.8+2</f>
        <v>28.8</v>
      </c>
      <c r="H23" s="118">
        <v>1</v>
      </c>
      <c r="I23" s="42"/>
      <c r="J23" s="42"/>
      <c r="K23" s="42"/>
      <c r="L23" s="42"/>
    </row>
    <row r="24" spans="1:12" ht="12" customHeight="1">
      <c r="A24" s="70">
        <v>13</v>
      </c>
      <c r="B24" s="10"/>
      <c r="C24" s="13" t="s">
        <v>21</v>
      </c>
      <c r="D24" s="105"/>
      <c r="E24" s="118">
        <f>+F24+H24</f>
        <v>50.8</v>
      </c>
      <c r="F24" s="118">
        <f>47.4+3.4</f>
        <v>50.8</v>
      </c>
      <c r="G24" s="118">
        <f>21.5+2.7</f>
        <v>24.2</v>
      </c>
      <c r="H24" s="118"/>
      <c r="I24" s="42"/>
      <c r="J24" s="42"/>
      <c r="K24" s="42"/>
      <c r="L24" s="42"/>
    </row>
    <row r="25" spans="1:12" ht="12" customHeight="1">
      <c r="A25" s="70">
        <v>14</v>
      </c>
      <c r="B25" s="10"/>
      <c r="C25" s="102" t="s">
        <v>3</v>
      </c>
      <c r="D25" s="105"/>
      <c r="E25" s="118">
        <f>+F25+H25</f>
        <v>88</v>
      </c>
      <c r="F25" s="118">
        <f>65+23</f>
        <v>88</v>
      </c>
      <c r="G25" s="118"/>
      <c r="H25" s="118"/>
      <c r="I25" s="42"/>
      <c r="J25" s="42"/>
      <c r="K25" s="42"/>
      <c r="L25" s="42"/>
    </row>
    <row r="26" spans="1:12" ht="24.75" customHeight="1">
      <c r="A26" s="70">
        <v>15</v>
      </c>
      <c r="B26" s="10" t="s">
        <v>59</v>
      </c>
      <c r="C26" s="25" t="s">
        <v>60</v>
      </c>
      <c r="D26" s="10" t="s">
        <v>25</v>
      </c>
      <c r="E26" s="128">
        <f>SUM(E27:E38)</f>
        <v>254.2</v>
      </c>
      <c r="F26" s="128">
        <f>SUM(F27:F38)</f>
        <v>254.2</v>
      </c>
      <c r="G26" s="128">
        <f>SUM(G27:G38)</f>
        <v>189.60000000000005</v>
      </c>
      <c r="H26" s="128"/>
      <c r="I26" s="42"/>
      <c r="J26" s="42"/>
      <c r="K26" s="42"/>
      <c r="L26" s="42"/>
    </row>
    <row r="27" spans="1:12" ht="12" customHeight="1">
      <c r="A27" s="70">
        <v>16</v>
      </c>
      <c r="B27" s="10"/>
      <c r="C27" s="91" t="s">
        <v>877</v>
      </c>
      <c r="D27" s="10"/>
      <c r="E27" s="118">
        <f>+F27+H27</f>
        <v>51.4</v>
      </c>
      <c r="F27" s="118">
        <f>70.8-22.8+1.5+1.9</f>
        <v>51.4</v>
      </c>
      <c r="G27" s="118">
        <f>53.1-17.1+1.1+1.3</f>
        <v>38.4</v>
      </c>
      <c r="H27" s="128"/>
      <c r="I27" s="42"/>
      <c r="J27" s="42"/>
      <c r="K27" s="42"/>
      <c r="L27" s="42"/>
    </row>
    <row r="28" spans="1:12" ht="12" customHeight="1">
      <c r="A28" s="70">
        <v>17</v>
      </c>
      <c r="B28" s="10"/>
      <c r="C28" s="91" t="s">
        <v>1</v>
      </c>
      <c r="D28" s="10"/>
      <c r="E28" s="118">
        <f>+F28+H28</f>
        <v>22.8</v>
      </c>
      <c r="F28" s="118">
        <v>22.8</v>
      </c>
      <c r="G28" s="118">
        <v>17.1</v>
      </c>
      <c r="H28" s="128"/>
      <c r="I28" s="42"/>
      <c r="J28" s="42"/>
      <c r="K28" s="42"/>
      <c r="L28" s="42"/>
    </row>
    <row r="29" spans="1:12" ht="12" customHeight="1">
      <c r="A29" s="70">
        <v>18</v>
      </c>
      <c r="B29" s="10"/>
      <c r="C29" s="81" t="s">
        <v>4</v>
      </c>
      <c r="D29" s="10"/>
      <c r="E29" s="118">
        <f>+F29+H29</f>
        <v>21.099999999999998</v>
      </c>
      <c r="F29" s="118">
        <f>20.2+0.4+0.5</f>
        <v>21.099999999999998</v>
      </c>
      <c r="G29" s="118">
        <f>15.1+0.3+0.5</f>
        <v>15.9</v>
      </c>
      <c r="H29" s="118"/>
      <c r="I29" s="42"/>
      <c r="J29" s="42"/>
      <c r="K29" s="42"/>
      <c r="L29" s="42"/>
    </row>
    <row r="30" spans="1:12" ht="12" customHeight="1">
      <c r="A30" s="70">
        <v>19</v>
      </c>
      <c r="B30" s="10"/>
      <c r="C30" s="81" t="s">
        <v>5</v>
      </c>
      <c r="D30" s="10"/>
      <c r="E30" s="118">
        <f aca="true" t="shared" si="0" ref="E30:E38">+F30+H30</f>
        <v>21.099999999999998</v>
      </c>
      <c r="F30" s="118">
        <f>20.2+0.4+0.5</f>
        <v>21.099999999999998</v>
      </c>
      <c r="G30" s="118">
        <f>15.1+0.3+0.4-0.4</f>
        <v>15.4</v>
      </c>
      <c r="H30" s="118"/>
      <c r="I30" s="42"/>
      <c r="J30" s="42"/>
      <c r="K30" s="42"/>
      <c r="L30" s="42"/>
    </row>
    <row r="31" spans="1:12" ht="12" customHeight="1">
      <c r="A31" s="70">
        <v>20</v>
      </c>
      <c r="B31" s="10"/>
      <c r="C31" s="81" t="s">
        <v>7</v>
      </c>
      <c r="D31" s="10"/>
      <c r="E31" s="118">
        <f>+F31+H31</f>
        <v>13.3</v>
      </c>
      <c r="F31" s="118">
        <f>12.6+0.3+0.4</f>
        <v>13.3</v>
      </c>
      <c r="G31" s="118">
        <f>9.5+0.2+0.2</f>
        <v>9.899999999999999</v>
      </c>
      <c r="H31" s="118"/>
      <c r="I31" s="42"/>
      <c r="J31" s="42"/>
      <c r="K31" s="42"/>
      <c r="L31" s="42"/>
    </row>
    <row r="32" spans="1:12" ht="12" customHeight="1">
      <c r="A32" s="70">
        <v>21</v>
      </c>
      <c r="B32" s="10"/>
      <c r="C32" s="81" t="s">
        <v>6</v>
      </c>
      <c r="D32" s="10"/>
      <c r="E32" s="118">
        <f t="shared" si="0"/>
        <v>21.099999999999998</v>
      </c>
      <c r="F32" s="118">
        <f>20.2+0.4+0.5</f>
        <v>21.099999999999998</v>
      </c>
      <c r="G32" s="118">
        <f>15.1+0.3+0.4</f>
        <v>15.8</v>
      </c>
      <c r="H32" s="118"/>
      <c r="I32" s="42"/>
      <c r="J32" s="42"/>
      <c r="K32" s="42"/>
      <c r="L32" s="42"/>
    </row>
    <row r="33" spans="1:12" ht="12" customHeight="1">
      <c r="A33" s="70">
        <v>22</v>
      </c>
      <c r="B33" s="10"/>
      <c r="C33" s="81" t="s">
        <v>9</v>
      </c>
      <c r="D33" s="10"/>
      <c r="E33" s="118">
        <f t="shared" si="0"/>
        <v>13.3</v>
      </c>
      <c r="F33" s="118">
        <f>12.6+0.3+0.4</f>
        <v>13.3</v>
      </c>
      <c r="G33" s="118">
        <f>9.5+0.2+0.3-0.3</f>
        <v>9.7</v>
      </c>
      <c r="H33" s="118"/>
      <c r="I33" s="42"/>
      <c r="J33" s="42"/>
      <c r="K33" s="42"/>
      <c r="L33" s="42"/>
    </row>
    <row r="34" spans="1:12" ht="12" customHeight="1">
      <c r="A34" s="70">
        <v>23</v>
      </c>
      <c r="B34" s="10"/>
      <c r="C34" s="91" t="s">
        <v>10</v>
      </c>
      <c r="D34" s="10"/>
      <c r="E34" s="118">
        <f t="shared" si="0"/>
        <v>15.9</v>
      </c>
      <c r="F34" s="118">
        <f>15.2+0.3+0.4</f>
        <v>15.9</v>
      </c>
      <c r="G34" s="118">
        <f>11.4+0.2+0.2</f>
        <v>11.799999999999999</v>
      </c>
      <c r="H34" s="118"/>
      <c r="I34" s="42"/>
      <c r="J34" s="42"/>
      <c r="K34" s="42"/>
      <c r="L34" s="42"/>
    </row>
    <row r="35" spans="1:12" ht="12" customHeight="1">
      <c r="A35" s="70">
        <v>24</v>
      </c>
      <c r="B35" s="10"/>
      <c r="C35" s="81" t="s">
        <v>12</v>
      </c>
      <c r="D35" s="10"/>
      <c r="E35" s="118">
        <f>+F35+H35</f>
        <v>16</v>
      </c>
      <c r="F35" s="118">
        <f>15.2+0.4+0.4</f>
        <v>16</v>
      </c>
      <c r="G35" s="118">
        <f>11.4+0.3+0.3</f>
        <v>12.000000000000002</v>
      </c>
      <c r="H35" s="118"/>
      <c r="I35" s="42"/>
      <c r="J35" s="42"/>
      <c r="K35" s="42"/>
      <c r="L35" s="42"/>
    </row>
    <row r="36" spans="1:12" ht="12" customHeight="1">
      <c r="A36" s="70">
        <v>25</v>
      </c>
      <c r="B36" s="10"/>
      <c r="C36" s="81" t="s">
        <v>11</v>
      </c>
      <c r="D36" s="10"/>
      <c r="E36" s="118">
        <f t="shared" si="0"/>
        <v>16</v>
      </c>
      <c r="F36" s="118">
        <f>15.2+0.4+0.4</f>
        <v>16</v>
      </c>
      <c r="G36" s="118">
        <f>11.4+0.3+0.3</f>
        <v>12.000000000000002</v>
      </c>
      <c r="H36" s="118"/>
      <c r="I36" s="42"/>
      <c r="J36" s="42"/>
      <c r="K36" s="42"/>
      <c r="L36" s="42"/>
    </row>
    <row r="37" spans="1:12" ht="12" customHeight="1">
      <c r="A37" s="70">
        <v>26</v>
      </c>
      <c r="B37" s="10"/>
      <c r="C37" s="81" t="s">
        <v>13</v>
      </c>
      <c r="D37" s="10"/>
      <c r="E37" s="118">
        <f t="shared" si="0"/>
        <v>21.099999999999998</v>
      </c>
      <c r="F37" s="118">
        <f>20.2+0.4+0.5</f>
        <v>21.099999999999998</v>
      </c>
      <c r="G37" s="118">
        <f>15.1+0.3+0.4</f>
        <v>15.8</v>
      </c>
      <c r="H37" s="118"/>
      <c r="I37" s="42"/>
      <c r="J37" s="42"/>
      <c r="K37" s="42"/>
      <c r="L37" s="42"/>
    </row>
    <row r="38" spans="1:12" ht="12" customHeight="1">
      <c r="A38" s="70">
        <v>27</v>
      </c>
      <c r="B38" s="10"/>
      <c r="C38" s="81" t="s">
        <v>14</v>
      </c>
      <c r="D38" s="10"/>
      <c r="E38" s="118">
        <f t="shared" si="0"/>
        <v>21.099999999999998</v>
      </c>
      <c r="F38" s="118">
        <f>20.2+0.4+0.5</f>
        <v>21.099999999999998</v>
      </c>
      <c r="G38" s="118">
        <f>15.1+0.3+0.4</f>
        <v>15.8</v>
      </c>
      <c r="H38" s="118"/>
      <c r="I38" s="42"/>
      <c r="J38" s="42"/>
      <c r="K38" s="42"/>
      <c r="L38" s="42"/>
    </row>
    <row r="39" spans="1:12" ht="54" customHeight="1">
      <c r="A39" s="70">
        <v>28</v>
      </c>
      <c r="B39" s="10" t="s">
        <v>61</v>
      </c>
      <c r="C39" s="25" t="s">
        <v>326</v>
      </c>
      <c r="D39" s="12" t="s">
        <v>327</v>
      </c>
      <c r="E39" s="128">
        <f>SUM(E40:E51)</f>
        <v>271.8</v>
      </c>
      <c r="F39" s="128">
        <f>SUM(F40:F51)</f>
        <v>271.8</v>
      </c>
      <c r="G39" s="128">
        <f>SUM(G40:G51)</f>
        <v>5.8</v>
      </c>
      <c r="H39" s="128"/>
      <c r="I39" s="42"/>
      <c r="J39" s="42"/>
      <c r="K39" s="42"/>
      <c r="L39" s="42"/>
    </row>
    <row r="40" spans="1:12" ht="12" customHeight="1">
      <c r="A40" s="70">
        <v>29</v>
      </c>
      <c r="B40" s="10"/>
      <c r="C40" s="102" t="s">
        <v>3</v>
      </c>
      <c r="D40" s="12"/>
      <c r="E40" s="118">
        <f>+F40+H40</f>
        <v>4.9</v>
      </c>
      <c r="F40" s="118">
        <f>6.4-1.5</f>
        <v>4.9</v>
      </c>
      <c r="G40" s="118"/>
      <c r="H40" s="118"/>
      <c r="I40" s="42"/>
      <c r="J40" s="42"/>
      <c r="K40" s="42"/>
      <c r="L40" s="42"/>
    </row>
    <row r="41" spans="1:12" ht="24.75" customHeight="1">
      <c r="A41" s="70">
        <v>30</v>
      </c>
      <c r="B41" s="10"/>
      <c r="C41" s="81" t="s">
        <v>8</v>
      </c>
      <c r="D41" s="10"/>
      <c r="E41" s="118">
        <f>+F41+H41</f>
        <v>143.5</v>
      </c>
      <c r="F41" s="118">
        <f>143.5</f>
        <v>143.5</v>
      </c>
      <c r="G41" s="118">
        <v>3.2</v>
      </c>
      <c r="H41" s="118"/>
      <c r="I41" s="42"/>
      <c r="J41" s="42"/>
      <c r="K41" s="42"/>
      <c r="L41" s="42"/>
    </row>
    <row r="42" spans="1:12" ht="12" customHeight="1">
      <c r="A42" s="70">
        <v>31</v>
      </c>
      <c r="B42" s="10"/>
      <c r="C42" s="81" t="s">
        <v>4</v>
      </c>
      <c r="D42" s="10"/>
      <c r="E42" s="118">
        <f aca="true" t="shared" si="1" ref="E42:E53">+F42+H42</f>
        <v>23.1</v>
      </c>
      <c r="F42" s="118">
        <v>23.1</v>
      </c>
      <c r="G42" s="118">
        <v>0.5</v>
      </c>
      <c r="H42" s="118"/>
      <c r="I42" s="42"/>
      <c r="J42" s="42"/>
      <c r="K42" s="42"/>
      <c r="L42" s="42"/>
    </row>
    <row r="43" spans="1:12" ht="12" customHeight="1">
      <c r="A43" s="70">
        <v>32</v>
      </c>
      <c r="B43" s="10"/>
      <c r="C43" s="81" t="s">
        <v>5</v>
      </c>
      <c r="D43" s="10"/>
      <c r="E43" s="118">
        <f t="shared" si="1"/>
        <v>10.200000000000001</v>
      </c>
      <c r="F43" s="118">
        <f>8.4+1.8</f>
        <v>10.200000000000001</v>
      </c>
      <c r="G43" s="118">
        <v>0.2</v>
      </c>
      <c r="H43" s="118"/>
      <c r="I43" s="42"/>
      <c r="J43" s="42"/>
      <c r="K43" s="42"/>
      <c r="L43" s="42"/>
    </row>
    <row r="44" spans="1:12" ht="12" customHeight="1">
      <c r="A44" s="70">
        <v>33</v>
      </c>
      <c r="B44" s="10"/>
      <c r="C44" s="81" t="s">
        <v>7</v>
      </c>
      <c r="D44" s="10"/>
      <c r="E44" s="118">
        <f>+F44+H44</f>
        <v>19.3</v>
      </c>
      <c r="F44" s="118">
        <f>16.3+3</f>
        <v>19.3</v>
      </c>
      <c r="G44" s="118">
        <v>0.3</v>
      </c>
      <c r="H44" s="118"/>
      <c r="I44" s="42"/>
      <c r="J44" s="42"/>
      <c r="K44" s="42"/>
      <c r="L44" s="42"/>
    </row>
    <row r="45" spans="1:12" ht="12" customHeight="1">
      <c r="A45" s="70">
        <v>34</v>
      </c>
      <c r="B45" s="10"/>
      <c r="C45" s="81" t="s">
        <v>6</v>
      </c>
      <c r="D45" s="10"/>
      <c r="E45" s="118">
        <f t="shared" si="1"/>
        <v>13.8</v>
      </c>
      <c r="F45" s="118">
        <v>13.8</v>
      </c>
      <c r="G45" s="118">
        <v>0.3</v>
      </c>
      <c r="H45" s="118"/>
      <c r="I45" s="42"/>
      <c r="J45" s="42"/>
      <c r="K45" s="42"/>
      <c r="L45" s="42"/>
    </row>
    <row r="46" spans="1:12" ht="12" customHeight="1">
      <c r="A46" s="70">
        <v>35</v>
      </c>
      <c r="B46" s="10"/>
      <c r="C46" s="81" t="s">
        <v>9</v>
      </c>
      <c r="D46" s="10"/>
      <c r="E46" s="118">
        <f t="shared" si="1"/>
        <v>13.8</v>
      </c>
      <c r="F46" s="118">
        <f>12.8+1</f>
        <v>13.8</v>
      </c>
      <c r="G46" s="118">
        <v>0.3</v>
      </c>
      <c r="H46" s="118"/>
      <c r="I46" s="42"/>
      <c r="J46" s="42"/>
      <c r="K46" s="42"/>
      <c r="L46" s="42"/>
    </row>
    <row r="47" spans="1:12" ht="12" customHeight="1">
      <c r="A47" s="70">
        <v>36</v>
      </c>
      <c r="B47" s="10"/>
      <c r="C47" s="91" t="s">
        <v>10</v>
      </c>
      <c r="D47" s="10"/>
      <c r="E47" s="118">
        <f t="shared" si="1"/>
        <v>5.3999999999999995</v>
      </c>
      <c r="F47" s="118">
        <f>7.1-1.7</f>
        <v>5.3999999999999995</v>
      </c>
      <c r="G47" s="118">
        <f>0.2-0.1</f>
        <v>0.1</v>
      </c>
      <c r="H47" s="250"/>
      <c r="I47" s="42"/>
      <c r="J47" s="42"/>
      <c r="K47" s="42"/>
      <c r="L47" s="42"/>
    </row>
    <row r="48" spans="1:12" ht="12" customHeight="1">
      <c r="A48" s="70">
        <v>37</v>
      </c>
      <c r="B48" s="10"/>
      <c r="C48" s="81" t="s">
        <v>12</v>
      </c>
      <c r="D48" s="10"/>
      <c r="E48" s="118">
        <f>+F48+H48</f>
        <v>5.799999999999999</v>
      </c>
      <c r="F48" s="118">
        <f>8.2-2.4</f>
        <v>5.799999999999999</v>
      </c>
      <c r="G48" s="118">
        <v>0.2</v>
      </c>
      <c r="H48" s="118"/>
      <c r="I48" s="42"/>
      <c r="J48" s="42"/>
      <c r="K48" s="42"/>
      <c r="L48" s="42"/>
    </row>
    <row r="49" spans="1:12" ht="12" customHeight="1">
      <c r="A49" s="70">
        <v>38</v>
      </c>
      <c r="B49" s="10"/>
      <c r="C49" s="81" t="s">
        <v>11</v>
      </c>
      <c r="D49" s="10"/>
      <c r="E49" s="118">
        <f t="shared" si="1"/>
        <v>12.200000000000001</v>
      </c>
      <c r="F49" s="118">
        <f>10.8+1.4</f>
        <v>12.200000000000001</v>
      </c>
      <c r="G49" s="118">
        <v>0.2</v>
      </c>
      <c r="H49" s="118"/>
      <c r="I49" s="42"/>
      <c r="J49" s="42"/>
      <c r="K49" s="42"/>
      <c r="L49" s="42"/>
    </row>
    <row r="50" spans="1:12" ht="12" customHeight="1">
      <c r="A50" s="70">
        <v>39</v>
      </c>
      <c r="B50" s="10"/>
      <c r="C50" s="81" t="s">
        <v>13</v>
      </c>
      <c r="D50" s="10"/>
      <c r="E50" s="118">
        <f t="shared" si="1"/>
        <v>4.5</v>
      </c>
      <c r="F50" s="118">
        <f>6.8-2.3</f>
        <v>4.5</v>
      </c>
      <c r="G50" s="118">
        <v>0.2</v>
      </c>
      <c r="H50" s="118"/>
      <c r="I50" s="42"/>
      <c r="J50" s="42"/>
      <c r="K50" s="42"/>
      <c r="L50" s="42"/>
    </row>
    <row r="51" spans="1:12" ht="12" customHeight="1">
      <c r="A51" s="70">
        <v>40</v>
      </c>
      <c r="B51" s="10"/>
      <c r="C51" s="81" t="s">
        <v>14</v>
      </c>
      <c r="D51" s="10"/>
      <c r="E51" s="118">
        <f t="shared" si="1"/>
        <v>15.299999999999999</v>
      </c>
      <c r="F51" s="118">
        <f>14.6+0.7</f>
        <v>15.299999999999999</v>
      </c>
      <c r="G51" s="118">
        <v>0.3</v>
      </c>
      <c r="H51" s="118"/>
      <c r="I51" s="42"/>
      <c r="J51" s="42"/>
      <c r="K51" s="42"/>
      <c r="L51" s="42"/>
    </row>
    <row r="52" spans="1:12" ht="29.25" customHeight="1">
      <c r="A52" s="70">
        <v>41</v>
      </c>
      <c r="B52" s="10" t="s">
        <v>62</v>
      </c>
      <c r="C52" s="26" t="s">
        <v>247</v>
      </c>
      <c r="D52" s="10" t="s">
        <v>63</v>
      </c>
      <c r="E52" s="128">
        <f>+E53</f>
        <v>302.80000000000007</v>
      </c>
      <c r="F52" s="128">
        <f>+F53</f>
        <v>302.80000000000007</v>
      </c>
      <c r="G52" s="128">
        <f>+G53</f>
        <v>6.3</v>
      </c>
      <c r="H52" s="128"/>
      <c r="I52" s="42"/>
      <c r="J52" s="42"/>
      <c r="K52" s="42"/>
      <c r="L52" s="42"/>
    </row>
    <row r="53" spans="1:12" ht="12" customHeight="1">
      <c r="A53" s="70">
        <v>42</v>
      </c>
      <c r="B53" s="10"/>
      <c r="C53" s="102" t="s">
        <v>3</v>
      </c>
      <c r="D53" s="10"/>
      <c r="E53" s="118">
        <f t="shared" si="1"/>
        <v>302.80000000000007</v>
      </c>
      <c r="F53" s="118">
        <f>+(244.3+66.9+3.5)+8.9-6.9-13.9</f>
        <v>302.80000000000007</v>
      </c>
      <c r="G53" s="118">
        <v>6.3</v>
      </c>
      <c r="H53" s="118"/>
      <c r="I53" s="42"/>
      <c r="J53" s="42"/>
      <c r="K53" s="42"/>
      <c r="L53" s="42"/>
    </row>
    <row r="54" spans="1:12" ht="24.75" customHeight="1">
      <c r="A54" s="70">
        <v>43</v>
      </c>
      <c r="B54" s="10" t="s">
        <v>304</v>
      </c>
      <c r="C54" s="26" t="s">
        <v>301</v>
      </c>
      <c r="D54" s="10" t="s">
        <v>155</v>
      </c>
      <c r="E54" s="128">
        <f>+E55</f>
        <v>0</v>
      </c>
      <c r="F54" s="128">
        <f>+F55</f>
        <v>0</v>
      </c>
      <c r="G54" s="128">
        <f>+G55</f>
        <v>0</v>
      </c>
      <c r="H54" s="128"/>
      <c r="I54" s="42"/>
      <c r="J54" s="42"/>
      <c r="K54" s="42"/>
      <c r="L54" s="42"/>
    </row>
    <row r="55" spans="1:12" ht="12" customHeight="1">
      <c r="A55" s="70">
        <v>44</v>
      </c>
      <c r="B55" s="10"/>
      <c r="C55" s="102" t="s">
        <v>3</v>
      </c>
      <c r="D55" s="10"/>
      <c r="E55" s="118">
        <f>+F55+H55</f>
        <v>0</v>
      </c>
      <c r="F55" s="118">
        <f>0.7-0.7</f>
        <v>0</v>
      </c>
      <c r="G55" s="118"/>
      <c r="H55" s="118"/>
      <c r="I55" s="42"/>
      <c r="J55" s="42"/>
      <c r="K55" s="42"/>
      <c r="L55" s="42"/>
    </row>
    <row r="56" spans="1:16" ht="19.5" customHeight="1">
      <c r="A56" s="70">
        <v>45</v>
      </c>
      <c r="B56" s="8" t="s">
        <v>64</v>
      </c>
      <c r="C56" s="11" t="s">
        <v>65</v>
      </c>
      <c r="D56" s="10"/>
      <c r="E56" s="119">
        <f>+E57+E69</f>
        <v>522.6</v>
      </c>
      <c r="F56" s="119">
        <f>+F57+F69</f>
        <v>522.6</v>
      </c>
      <c r="G56" s="119">
        <f>+G57+G69</f>
        <v>127.69999999999999</v>
      </c>
      <c r="H56" s="119">
        <f>+H57+H69</f>
        <v>0</v>
      </c>
      <c r="I56" s="42"/>
      <c r="J56" s="1"/>
      <c r="K56" s="1"/>
      <c r="L56" s="42"/>
      <c r="N56" s="42"/>
      <c r="O56" s="38"/>
      <c r="P56" s="6"/>
    </row>
    <row r="57" spans="1:12" ht="12" customHeight="1">
      <c r="A57" s="70">
        <v>46</v>
      </c>
      <c r="B57" s="10" t="s">
        <v>66</v>
      </c>
      <c r="C57" s="26" t="s">
        <v>67</v>
      </c>
      <c r="D57" s="10" t="s">
        <v>357</v>
      </c>
      <c r="E57" s="128">
        <f>SUM(E58:E68)</f>
        <v>198.60000000000002</v>
      </c>
      <c r="F57" s="128">
        <f>SUM(F58:F68)</f>
        <v>198.60000000000002</v>
      </c>
      <c r="G57" s="128">
        <f>SUM(G58:G68)</f>
        <v>127.69999999999999</v>
      </c>
      <c r="H57" s="128"/>
      <c r="I57" s="42"/>
      <c r="J57" s="42"/>
      <c r="K57" s="42"/>
      <c r="L57" s="42"/>
    </row>
    <row r="58" spans="1:12" ht="12" customHeight="1">
      <c r="A58" s="70">
        <v>47</v>
      </c>
      <c r="B58" s="10"/>
      <c r="C58" s="102" t="s">
        <v>3</v>
      </c>
      <c r="D58" s="10"/>
      <c r="E58" s="118">
        <f>+F58+H58</f>
        <v>120.3</v>
      </c>
      <c r="F58" s="118">
        <v>120.3</v>
      </c>
      <c r="G58" s="118">
        <v>74.2</v>
      </c>
      <c r="H58" s="118"/>
      <c r="I58" s="42"/>
      <c r="J58" s="42"/>
      <c r="K58" s="42"/>
      <c r="L58" s="42"/>
    </row>
    <row r="59" spans="1:12" ht="12" customHeight="1">
      <c r="A59" s="70">
        <v>48</v>
      </c>
      <c r="B59" s="10"/>
      <c r="C59" s="81" t="s">
        <v>4</v>
      </c>
      <c r="D59" s="10"/>
      <c r="E59" s="118">
        <f aca="true" t="shared" si="2" ref="E59:E68">+F59+H59</f>
        <v>9</v>
      </c>
      <c r="F59" s="118">
        <f>8.8+0.2</f>
        <v>9</v>
      </c>
      <c r="G59" s="118">
        <f>5.5+0.2+0.1</f>
        <v>5.8</v>
      </c>
      <c r="H59" s="118"/>
      <c r="I59" s="42"/>
      <c r="J59" s="42"/>
      <c r="K59" s="42"/>
      <c r="L59" s="42"/>
    </row>
    <row r="60" spans="1:12" ht="12" customHeight="1">
      <c r="A60" s="70">
        <v>49</v>
      </c>
      <c r="B60" s="10"/>
      <c r="C60" s="81" t="s">
        <v>5</v>
      </c>
      <c r="D60" s="10"/>
      <c r="E60" s="118">
        <f t="shared" si="2"/>
        <v>6.4</v>
      </c>
      <c r="F60" s="118">
        <f>6.2+0.2</f>
        <v>6.4</v>
      </c>
      <c r="G60" s="118">
        <f>3.9+0.2</f>
        <v>4.1</v>
      </c>
      <c r="H60" s="118"/>
      <c r="I60" s="42"/>
      <c r="J60" s="42"/>
      <c r="K60" s="42"/>
      <c r="L60" s="42"/>
    </row>
    <row r="61" spans="1:12" ht="12" customHeight="1">
      <c r="A61" s="70">
        <v>50</v>
      </c>
      <c r="B61" s="10"/>
      <c r="C61" s="81" t="s">
        <v>7</v>
      </c>
      <c r="D61" s="10"/>
      <c r="E61" s="118">
        <f>+F61+H61</f>
        <v>8.5</v>
      </c>
      <c r="F61" s="118">
        <f>8.2+0.3</f>
        <v>8.5</v>
      </c>
      <c r="G61" s="118">
        <f>5.5+0.3</f>
        <v>5.8</v>
      </c>
      <c r="H61" s="118"/>
      <c r="I61" s="42"/>
      <c r="J61" s="42"/>
      <c r="K61" s="42"/>
      <c r="L61" s="42"/>
    </row>
    <row r="62" spans="1:12" ht="12" customHeight="1">
      <c r="A62" s="70">
        <v>51</v>
      </c>
      <c r="B62" s="10"/>
      <c r="C62" s="81" t="s">
        <v>6</v>
      </c>
      <c r="D62" s="10"/>
      <c r="E62" s="118">
        <f t="shared" si="2"/>
        <v>10.5</v>
      </c>
      <c r="F62" s="118">
        <f>10.2+0.3</f>
        <v>10.5</v>
      </c>
      <c r="G62" s="118">
        <f>6.9+0.3</f>
        <v>7.2</v>
      </c>
      <c r="H62" s="118"/>
      <c r="I62" s="42"/>
      <c r="J62" s="42"/>
      <c r="K62" s="42"/>
      <c r="L62" s="42"/>
    </row>
    <row r="63" spans="1:12" ht="12" customHeight="1">
      <c r="A63" s="70">
        <v>52</v>
      </c>
      <c r="B63" s="10"/>
      <c r="C63" s="81" t="s">
        <v>9</v>
      </c>
      <c r="D63" s="10"/>
      <c r="E63" s="118">
        <f t="shared" si="2"/>
        <v>7.8</v>
      </c>
      <c r="F63" s="118">
        <f>7.6+0.2</f>
        <v>7.8</v>
      </c>
      <c r="G63" s="118">
        <f>5.5+0.2-0.1</f>
        <v>5.6000000000000005</v>
      </c>
      <c r="H63" s="118"/>
      <c r="I63" s="42"/>
      <c r="J63" s="42"/>
      <c r="K63" s="42"/>
      <c r="L63" s="42"/>
    </row>
    <row r="64" spans="1:12" ht="12" customHeight="1">
      <c r="A64" s="70">
        <v>53</v>
      </c>
      <c r="B64" s="10"/>
      <c r="C64" s="91" t="s">
        <v>10</v>
      </c>
      <c r="D64" s="10"/>
      <c r="E64" s="118">
        <f t="shared" si="2"/>
        <v>6.5</v>
      </c>
      <c r="F64" s="118">
        <f>6.3+0.2</f>
        <v>6.5</v>
      </c>
      <c r="G64" s="118">
        <f>4.5+0.2</f>
        <v>4.7</v>
      </c>
      <c r="H64" s="118"/>
      <c r="I64" s="42"/>
      <c r="J64" s="42"/>
      <c r="K64" s="42"/>
      <c r="L64" s="42"/>
    </row>
    <row r="65" spans="1:12" ht="12" customHeight="1">
      <c r="A65" s="70">
        <v>54</v>
      </c>
      <c r="B65" s="10"/>
      <c r="C65" s="81" t="s">
        <v>12</v>
      </c>
      <c r="D65" s="10"/>
      <c r="E65" s="118">
        <f>+F65+H65</f>
        <v>6.1000000000000005</v>
      </c>
      <c r="F65" s="118">
        <f>5.9+0.2</f>
        <v>6.1000000000000005</v>
      </c>
      <c r="G65" s="118">
        <f>3.9+0.2</f>
        <v>4.1</v>
      </c>
      <c r="H65" s="118"/>
      <c r="I65" s="42"/>
      <c r="J65" s="42"/>
      <c r="K65" s="42"/>
      <c r="L65" s="42"/>
    </row>
    <row r="66" spans="1:12" ht="12" customHeight="1">
      <c r="A66" s="70">
        <v>55</v>
      </c>
      <c r="B66" s="10"/>
      <c r="C66" s="81" t="s">
        <v>11</v>
      </c>
      <c r="D66" s="10"/>
      <c r="E66" s="118">
        <f t="shared" si="2"/>
        <v>8.5</v>
      </c>
      <c r="F66" s="118">
        <f>8.3+0.2</f>
        <v>8.5</v>
      </c>
      <c r="G66" s="118">
        <f>5.5+0.2</f>
        <v>5.7</v>
      </c>
      <c r="H66" s="118"/>
      <c r="I66" s="42"/>
      <c r="J66" s="42"/>
      <c r="K66" s="42"/>
      <c r="L66" s="42"/>
    </row>
    <row r="67" spans="1:12" ht="12" customHeight="1">
      <c r="A67" s="70">
        <v>56</v>
      </c>
      <c r="B67" s="10"/>
      <c r="C67" s="81" t="s">
        <v>13</v>
      </c>
      <c r="D67" s="10"/>
      <c r="E67" s="118">
        <f t="shared" si="2"/>
        <v>6.7</v>
      </c>
      <c r="F67" s="118">
        <f>6.5+0.2</f>
        <v>6.7</v>
      </c>
      <c r="G67" s="118">
        <f>4.5+0.2</f>
        <v>4.7</v>
      </c>
      <c r="H67" s="118"/>
      <c r="I67" s="42"/>
      <c r="J67" s="42"/>
      <c r="K67" s="42"/>
      <c r="L67" s="42"/>
    </row>
    <row r="68" spans="1:12" ht="12" customHeight="1">
      <c r="A68" s="70">
        <v>57</v>
      </c>
      <c r="B68" s="10"/>
      <c r="C68" s="81" t="s">
        <v>14</v>
      </c>
      <c r="D68" s="10"/>
      <c r="E68" s="118">
        <f t="shared" si="2"/>
        <v>8.3</v>
      </c>
      <c r="F68" s="118">
        <f>8+0.3</f>
        <v>8.3</v>
      </c>
      <c r="G68" s="118">
        <f>5.5+0.3</f>
        <v>5.8</v>
      </c>
      <c r="H68" s="118"/>
      <c r="I68" s="42"/>
      <c r="J68" s="42"/>
      <c r="K68" s="42"/>
      <c r="L68" s="42"/>
    </row>
    <row r="69" spans="1:12" ht="72" customHeight="1">
      <c r="A69" s="70">
        <v>58</v>
      </c>
      <c r="B69" s="10" t="s">
        <v>68</v>
      </c>
      <c r="C69" s="25" t="s">
        <v>446</v>
      </c>
      <c r="D69" s="10"/>
      <c r="E69" s="128">
        <f>+E70</f>
        <v>324</v>
      </c>
      <c r="F69" s="128">
        <f>+F70</f>
        <v>324</v>
      </c>
      <c r="G69" s="128">
        <f>+G70</f>
        <v>0</v>
      </c>
      <c r="H69" s="128">
        <f>+H70</f>
        <v>0</v>
      </c>
      <c r="I69" s="42"/>
      <c r="J69" s="42"/>
      <c r="K69" s="42"/>
      <c r="L69" s="42"/>
    </row>
    <row r="70" spans="1:12" ht="12" customHeight="1">
      <c r="A70" s="70">
        <v>59</v>
      </c>
      <c r="B70" s="10"/>
      <c r="C70" s="102" t="s">
        <v>3</v>
      </c>
      <c r="D70" s="10" t="s">
        <v>69</v>
      </c>
      <c r="E70" s="118">
        <f>+F70+H70</f>
        <v>324</v>
      </c>
      <c r="F70" s="118">
        <f>SUM(F71:F77)</f>
        <v>324</v>
      </c>
      <c r="G70" s="118">
        <f>SUM(G71:G77)</f>
        <v>0</v>
      </c>
      <c r="H70" s="118">
        <f>SUM(H71:H77)</f>
        <v>0</v>
      </c>
      <c r="I70" s="42"/>
      <c r="J70" s="42"/>
      <c r="K70" s="42"/>
      <c r="L70" s="42"/>
    </row>
    <row r="71" spans="1:12" ht="26.25" customHeight="1">
      <c r="A71" s="70" t="s">
        <v>931</v>
      </c>
      <c r="B71" s="10"/>
      <c r="C71" s="81" t="s">
        <v>442</v>
      </c>
      <c r="D71" s="10"/>
      <c r="E71" s="118">
        <f>+F71</f>
        <v>16</v>
      </c>
      <c r="F71" s="118">
        <v>16</v>
      </c>
      <c r="G71" s="118"/>
      <c r="H71" s="118"/>
      <c r="I71" s="42"/>
      <c r="J71" s="42"/>
      <c r="K71" s="42"/>
      <c r="L71" s="245"/>
    </row>
    <row r="72" spans="1:12" ht="17.25" customHeight="1">
      <c r="A72" s="70" t="s">
        <v>932</v>
      </c>
      <c r="B72" s="10"/>
      <c r="C72" s="81" t="s">
        <v>358</v>
      </c>
      <c r="D72" s="10"/>
      <c r="E72" s="118">
        <f aca="true" t="shared" si="3" ref="E72:E77">+F72</f>
        <v>16</v>
      </c>
      <c r="F72" s="118">
        <v>16</v>
      </c>
      <c r="G72" s="118"/>
      <c r="H72" s="118"/>
      <c r="I72" s="42"/>
      <c r="J72" s="42"/>
      <c r="K72" s="42"/>
      <c r="L72" s="245"/>
    </row>
    <row r="73" spans="1:12" ht="16.5" customHeight="1">
      <c r="A73" s="70" t="s">
        <v>933</v>
      </c>
      <c r="B73" s="10"/>
      <c r="C73" s="81" t="s">
        <v>443</v>
      </c>
      <c r="D73" s="10"/>
      <c r="E73" s="118">
        <f t="shared" si="3"/>
        <v>242.89999999999998</v>
      </c>
      <c r="F73" s="118">
        <f>244.2-1.3</f>
        <v>242.89999999999998</v>
      </c>
      <c r="G73" s="118"/>
      <c r="H73" s="118"/>
      <c r="I73" s="42"/>
      <c r="J73" s="42"/>
      <c r="K73" s="42"/>
      <c r="L73" s="245"/>
    </row>
    <row r="74" spans="1:12" ht="27.75" customHeight="1">
      <c r="A74" s="70" t="s">
        <v>934</v>
      </c>
      <c r="B74" s="10"/>
      <c r="C74" s="81" t="s">
        <v>314</v>
      </c>
      <c r="D74" s="10"/>
      <c r="E74" s="118">
        <f t="shared" si="3"/>
        <v>22.5</v>
      </c>
      <c r="F74" s="118">
        <f>21+1.5</f>
        <v>22.5</v>
      </c>
      <c r="G74" s="118"/>
      <c r="H74" s="118"/>
      <c r="I74" s="42"/>
      <c r="J74" s="42"/>
      <c r="K74" s="42"/>
      <c r="L74" s="245"/>
    </row>
    <row r="75" spans="1:15" ht="28.5" customHeight="1">
      <c r="A75" s="70" t="s">
        <v>935</v>
      </c>
      <c r="B75" s="10"/>
      <c r="C75" s="81" t="s">
        <v>359</v>
      </c>
      <c r="D75" s="10"/>
      <c r="E75" s="118">
        <f t="shared" si="3"/>
        <v>4.3</v>
      </c>
      <c r="F75" s="118">
        <v>4.3</v>
      </c>
      <c r="G75" s="118"/>
      <c r="H75" s="118"/>
      <c r="I75" s="42"/>
      <c r="J75" s="42"/>
      <c r="K75" s="42"/>
      <c r="L75" s="245"/>
      <c r="O75" s="6"/>
    </row>
    <row r="76" spans="1:15" ht="27" customHeight="1">
      <c r="A76" s="70" t="s">
        <v>936</v>
      </c>
      <c r="B76" s="10"/>
      <c r="C76" s="81" t="s">
        <v>444</v>
      </c>
      <c r="D76" s="10"/>
      <c r="E76" s="118">
        <f t="shared" si="3"/>
        <v>12.5</v>
      </c>
      <c r="F76" s="118">
        <f>13.5-1</f>
        <v>12.5</v>
      </c>
      <c r="G76" s="118"/>
      <c r="H76" s="118"/>
      <c r="I76" s="42"/>
      <c r="J76" s="42"/>
      <c r="K76" s="42"/>
      <c r="L76" s="245"/>
      <c r="O76" s="6"/>
    </row>
    <row r="77" spans="1:12" ht="16.5" customHeight="1">
      <c r="A77" s="70" t="s">
        <v>937</v>
      </c>
      <c r="B77" s="10"/>
      <c r="C77" s="81" t="s">
        <v>445</v>
      </c>
      <c r="D77" s="10"/>
      <c r="E77" s="118">
        <f t="shared" si="3"/>
        <v>9.8</v>
      </c>
      <c r="F77" s="118">
        <f>9+0.8</f>
        <v>9.8</v>
      </c>
      <c r="G77" s="118"/>
      <c r="H77" s="118"/>
      <c r="I77" s="42"/>
      <c r="J77" s="42"/>
      <c r="K77" s="42"/>
      <c r="L77" s="245"/>
    </row>
    <row r="78" spans="1:12" ht="19.5" customHeight="1">
      <c r="A78" s="70">
        <v>60</v>
      </c>
      <c r="B78" s="8" t="s">
        <v>27</v>
      </c>
      <c r="C78" s="11" t="s">
        <v>28</v>
      </c>
      <c r="D78" s="10"/>
      <c r="E78" s="119">
        <f>SUM(E79+E81+E83+E85+E87+E89+E91+E93++E95+E97+E99+E101+E104+E116)</f>
        <v>995.1999999999999</v>
      </c>
      <c r="F78" s="119">
        <f>SUM(F79+F81+F83+F85+F87+F89+F91+F93++F95+F97+F99+F101+F104+F116)</f>
        <v>995.1999999999999</v>
      </c>
      <c r="G78" s="119">
        <f>SUM(G79+G81+G83+G85+G87+G89+G91+G93++G95+G97+G99+G101+G104+G116)</f>
        <v>679.2</v>
      </c>
      <c r="H78" s="119">
        <f>SUM(H79+H81+H83+H85+H87+H89+H91+H93++H95+H97+H99+H101+H104+H116)</f>
        <v>0</v>
      </c>
      <c r="I78" s="42"/>
      <c r="J78" s="42"/>
      <c r="K78" s="42"/>
      <c r="L78" s="42"/>
    </row>
    <row r="79" spans="1:12" ht="12" customHeight="1">
      <c r="A79" s="70">
        <v>61</v>
      </c>
      <c r="B79" s="10" t="s">
        <v>70</v>
      </c>
      <c r="C79" s="26" t="s">
        <v>71</v>
      </c>
      <c r="D79" s="10" t="s">
        <v>30</v>
      </c>
      <c r="E79" s="128">
        <f>+E80</f>
        <v>673.5</v>
      </c>
      <c r="F79" s="128">
        <f>+F80</f>
        <v>673.5</v>
      </c>
      <c r="G79" s="128">
        <f>+G80</f>
        <v>468</v>
      </c>
      <c r="H79" s="128"/>
      <c r="I79" s="42"/>
      <c r="J79" s="42"/>
      <c r="K79" s="42"/>
      <c r="L79" s="42"/>
    </row>
    <row r="80" spans="1:12" ht="14.25" customHeight="1">
      <c r="A80" s="70">
        <v>62</v>
      </c>
      <c r="B80" s="257"/>
      <c r="C80" s="81" t="s">
        <v>29</v>
      </c>
      <c r="D80" s="105"/>
      <c r="E80" s="118">
        <f>+F80+H80</f>
        <v>673.5</v>
      </c>
      <c r="F80" s="118">
        <f>657.6+15.9</f>
        <v>673.5</v>
      </c>
      <c r="G80" s="118">
        <f>451+12.6+4.4</f>
        <v>468</v>
      </c>
      <c r="H80" s="118"/>
      <c r="I80" s="42"/>
      <c r="J80" s="42"/>
      <c r="K80" s="42"/>
      <c r="L80" s="42"/>
    </row>
    <row r="81" spans="1:12" ht="24.75" customHeight="1">
      <c r="A81" s="70">
        <v>63</v>
      </c>
      <c r="B81" s="10" t="s">
        <v>72</v>
      </c>
      <c r="C81" s="25" t="s">
        <v>73</v>
      </c>
      <c r="D81" s="10" t="s">
        <v>74</v>
      </c>
      <c r="E81" s="128">
        <f>SUM(E82:E82)</f>
        <v>0.9</v>
      </c>
      <c r="F81" s="128">
        <f>SUM(F82:F82)</f>
        <v>0.9</v>
      </c>
      <c r="G81" s="128">
        <f>SUM(G82:G82)</f>
        <v>0.7</v>
      </c>
      <c r="H81" s="128"/>
      <c r="I81" s="42"/>
      <c r="J81" s="42"/>
      <c r="K81" s="42"/>
      <c r="L81" s="42"/>
    </row>
    <row r="82" spans="1:12" ht="12" customHeight="1">
      <c r="A82" s="70">
        <v>64</v>
      </c>
      <c r="B82" s="10"/>
      <c r="C82" s="102" t="s">
        <v>3</v>
      </c>
      <c r="D82" s="10"/>
      <c r="E82" s="118">
        <f>+F82+H82</f>
        <v>0.9</v>
      </c>
      <c r="F82" s="118">
        <v>0.9</v>
      </c>
      <c r="G82" s="118">
        <v>0.7</v>
      </c>
      <c r="H82" s="118"/>
      <c r="I82" s="42"/>
      <c r="J82" s="42"/>
      <c r="K82" s="42"/>
      <c r="L82" s="42"/>
    </row>
    <row r="83" spans="1:12" ht="12" customHeight="1">
      <c r="A83" s="70">
        <v>65</v>
      </c>
      <c r="B83" s="12" t="s">
        <v>75</v>
      </c>
      <c r="C83" s="25" t="s">
        <v>76</v>
      </c>
      <c r="D83" s="10" t="s">
        <v>74</v>
      </c>
      <c r="E83" s="126">
        <f>+E84</f>
        <v>41.4</v>
      </c>
      <c r="F83" s="126">
        <f>+F84</f>
        <v>41.4</v>
      </c>
      <c r="G83" s="126">
        <f>+G84</f>
        <v>27.599999999999998</v>
      </c>
      <c r="H83" s="126"/>
      <c r="I83" s="42"/>
      <c r="J83" s="42"/>
      <c r="K83" s="42"/>
      <c r="L83" s="42"/>
    </row>
    <row r="84" spans="1:12" ht="12" customHeight="1">
      <c r="A84" s="70">
        <v>66</v>
      </c>
      <c r="B84" s="10"/>
      <c r="C84" s="102" t="s">
        <v>3</v>
      </c>
      <c r="D84" s="10"/>
      <c r="E84" s="118">
        <f>+F84+H84</f>
        <v>41.4</v>
      </c>
      <c r="F84" s="118">
        <f>40.9+0.5</f>
        <v>41.4</v>
      </c>
      <c r="G84" s="118">
        <f>27.2+0.4</f>
        <v>27.599999999999998</v>
      </c>
      <c r="H84" s="118"/>
      <c r="I84" s="42"/>
      <c r="J84" s="42"/>
      <c r="K84" s="42"/>
      <c r="L84" s="42"/>
    </row>
    <row r="85" spans="1:12" ht="12" customHeight="1">
      <c r="A85" s="70">
        <v>67</v>
      </c>
      <c r="B85" s="10" t="s">
        <v>77</v>
      </c>
      <c r="C85" s="25" t="s">
        <v>78</v>
      </c>
      <c r="D85" s="10" t="s">
        <v>89</v>
      </c>
      <c r="E85" s="128">
        <f>+E86</f>
        <v>35.3</v>
      </c>
      <c r="F85" s="128">
        <f>+F86</f>
        <v>35.3</v>
      </c>
      <c r="G85" s="128">
        <f>+G86</f>
        <v>21.1</v>
      </c>
      <c r="H85" s="128"/>
      <c r="I85" s="42"/>
      <c r="J85" s="42"/>
      <c r="K85" s="42"/>
      <c r="L85" s="42"/>
    </row>
    <row r="86" spans="1:12" ht="12" customHeight="1">
      <c r="A86" s="70">
        <v>68</v>
      </c>
      <c r="B86" s="10"/>
      <c r="C86" s="102" t="s">
        <v>3</v>
      </c>
      <c r="D86" s="10"/>
      <c r="E86" s="118">
        <f>+F86+H86</f>
        <v>35.3</v>
      </c>
      <c r="F86" s="118">
        <v>35.3</v>
      </c>
      <c r="G86" s="118">
        <v>21.1</v>
      </c>
      <c r="H86" s="118"/>
      <c r="I86" s="42"/>
      <c r="J86" s="42"/>
      <c r="K86" s="42"/>
      <c r="L86" s="42"/>
    </row>
    <row r="87" spans="1:12" ht="12" customHeight="1">
      <c r="A87" s="70">
        <v>69</v>
      </c>
      <c r="B87" s="10" t="s">
        <v>79</v>
      </c>
      <c r="C87" s="25" t="s">
        <v>80</v>
      </c>
      <c r="D87" s="12" t="s">
        <v>81</v>
      </c>
      <c r="E87" s="126">
        <f>+E88</f>
        <v>38</v>
      </c>
      <c r="F87" s="126">
        <f>+F88</f>
        <v>38</v>
      </c>
      <c r="G87" s="126">
        <f>+G88</f>
        <v>18.2</v>
      </c>
      <c r="H87" s="126"/>
      <c r="I87" s="42"/>
      <c r="J87" s="42"/>
      <c r="K87" s="42"/>
      <c r="L87" s="42"/>
    </row>
    <row r="88" spans="1:12" ht="12" customHeight="1">
      <c r="A88" s="70">
        <v>70</v>
      </c>
      <c r="B88" s="10"/>
      <c r="C88" s="102" t="s">
        <v>3</v>
      </c>
      <c r="D88" s="10"/>
      <c r="E88" s="127">
        <f>+F88+H88</f>
        <v>38</v>
      </c>
      <c r="F88" s="127">
        <v>38</v>
      </c>
      <c r="G88" s="127">
        <v>18.2</v>
      </c>
      <c r="H88" s="118"/>
      <c r="I88" s="42"/>
      <c r="J88" s="42"/>
      <c r="K88" s="42"/>
      <c r="L88" s="42"/>
    </row>
    <row r="89" spans="1:12" ht="12" customHeight="1">
      <c r="A89" s="70">
        <v>71</v>
      </c>
      <c r="B89" s="10" t="s">
        <v>82</v>
      </c>
      <c r="C89" s="26" t="s">
        <v>83</v>
      </c>
      <c r="D89" s="10" t="s">
        <v>89</v>
      </c>
      <c r="E89" s="128">
        <f>+E90</f>
        <v>8.8</v>
      </c>
      <c r="F89" s="128">
        <f>+F90</f>
        <v>8.8</v>
      </c>
      <c r="G89" s="128">
        <f>+G90</f>
        <v>6.7</v>
      </c>
      <c r="H89" s="128"/>
      <c r="I89" s="42"/>
      <c r="J89" s="42"/>
      <c r="K89" s="42"/>
      <c r="L89" s="42"/>
    </row>
    <row r="90" spans="1:12" ht="12" customHeight="1">
      <c r="A90" s="70">
        <v>72</v>
      </c>
      <c r="B90" s="10"/>
      <c r="C90" s="102" t="s">
        <v>3</v>
      </c>
      <c r="D90" s="10"/>
      <c r="E90" s="118">
        <f>+F90+H90</f>
        <v>8.8</v>
      </c>
      <c r="F90" s="118">
        <v>8.8</v>
      </c>
      <c r="G90" s="118">
        <v>6.7</v>
      </c>
      <c r="H90" s="118"/>
      <c r="I90" s="42"/>
      <c r="J90" s="42"/>
      <c r="K90" s="42"/>
      <c r="L90" s="42"/>
    </row>
    <row r="91" spans="1:12" ht="12" customHeight="1">
      <c r="A91" s="70">
        <v>73</v>
      </c>
      <c r="B91" s="10" t="s">
        <v>85</v>
      </c>
      <c r="C91" s="25" t="s">
        <v>87</v>
      </c>
      <c r="D91" s="12" t="s">
        <v>356</v>
      </c>
      <c r="E91" s="128">
        <f>+E92</f>
        <v>8.6</v>
      </c>
      <c r="F91" s="128">
        <f>+F92</f>
        <v>8.6</v>
      </c>
      <c r="G91" s="128">
        <f>+G92</f>
        <v>5.9</v>
      </c>
      <c r="H91" s="128"/>
      <c r="I91" s="42"/>
      <c r="J91" s="42"/>
      <c r="K91" s="42"/>
      <c r="L91" s="42"/>
    </row>
    <row r="92" spans="1:12" ht="12" customHeight="1">
      <c r="A92" s="70">
        <v>74</v>
      </c>
      <c r="B92" s="10"/>
      <c r="C92" s="102" t="s">
        <v>3</v>
      </c>
      <c r="D92" s="10"/>
      <c r="E92" s="118">
        <f>+F92+H92</f>
        <v>8.6</v>
      </c>
      <c r="F92" s="118">
        <v>8.6</v>
      </c>
      <c r="G92" s="118">
        <v>5.9</v>
      </c>
      <c r="H92" s="118"/>
      <c r="I92" s="42"/>
      <c r="J92" s="42"/>
      <c r="K92" s="42"/>
      <c r="L92" s="42"/>
    </row>
    <row r="93" spans="1:12" ht="12" customHeight="1">
      <c r="A93" s="70">
        <v>75</v>
      </c>
      <c r="B93" s="10" t="s">
        <v>86</v>
      </c>
      <c r="C93" s="26" t="s">
        <v>239</v>
      </c>
      <c r="D93" s="10" t="s">
        <v>89</v>
      </c>
      <c r="E93" s="128">
        <f>+E94</f>
        <v>127</v>
      </c>
      <c r="F93" s="128">
        <f>+F94</f>
        <v>127</v>
      </c>
      <c r="G93" s="128">
        <f>+G94</f>
        <v>92.5</v>
      </c>
      <c r="H93" s="128"/>
      <c r="I93" s="42"/>
      <c r="J93" s="42"/>
      <c r="K93" s="42"/>
      <c r="L93" s="42"/>
    </row>
    <row r="94" spans="1:12" ht="12" customHeight="1">
      <c r="A94" s="70">
        <v>76</v>
      </c>
      <c r="B94" s="10"/>
      <c r="C94" s="102" t="s">
        <v>3</v>
      </c>
      <c r="D94" s="10"/>
      <c r="E94" s="118">
        <f>+F94+H94</f>
        <v>127</v>
      </c>
      <c r="F94" s="118">
        <f>111.3+15.7</f>
        <v>127</v>
      </c>
      <c r="G94" s="118">
        <f>80.5+12</f>
        <v>92.5</v>
      </c>
      <c r="H94" s="118"/>
      <c r="I94" s="42"/>
      <c r="J94" s="42"/>
      <c r="K94" s="42"/>
      <c r="L94" s="42"/>
    </row>
    <row r="95" spans="1:12" ht="12" customHeight="1">
      <c r="A95" s="70">
        <v>77</v>
      </c>
      <c r="B95" s="10" t="s">
        <v>88</v>
      </c>
      <c r="C95" s="26" t="s">
        <v>240</v>
      </c>
      <c r="D95" s="10" t="s">
        <v>89</v>
      </c>
      <c r="E95" s="128">
        <f>+E96</f>
        <v>14.6</v>
      </c>
      <c r="F95" s="128">
        <f>+F96</f>
        <v>14.6</v>
      </c>
      <c r="G95" s="128">
        <f>+G96</f>
        <v>10.2</v>
      </c>
      <c r="H95" s="128"/>
      <c r="I95" s="42"/>
      <c r="J95" s="42"/>
      <c r="K95" s="42"/>
      <c r="L95" s="42"/>
    </row>
    <row r="96" spans="1:12" ht="12" customHeight="1">
      <c r="A96" s="70">
        <v>78</v>
      </c>
      <c r="B96" s="10"/>
      <c r="C96" s="102" t="s">
        <v>3</v>
      </c>
      <c r="D96" s="10"/>
      <c r="E96" s="118">
        <f>+F96+H96</f>
        <v>14.6</v>
      </c>
      <c r="F96" s="118">
        <v>14.6</v>
      </c>
      <c r="G96" s="118">
        <v>10.2</v>
      </c>
      <c r="H96" s="118"/>
      <c r="I96" s="42"/>
      <c r="J96" s="42"/>
      <c r="K96" s="42"/>
      <c r="L96" s="42"/>
    </row>
    <row r="97" spans="1:12" ht="12" customHeight="1">
      <c r="A97" s="70">
        <v>79</v>
      </c>
      <c r="B97" s="10" t="s">
        <v>90</v>
      </c>
      <c r="C97" s="25" t="s">
        <v>91</v>
      </c>
      <c r="D97" s="10" t="s">
        <v>89</v>
      </c>
      <c r="E97" s="128">
        <f>+E98</f>
        <v>13.8</v>
      </c>
      <c r="F97" s="128">
        <f>+F98</f>
        <v>13.8</v>
      </c>
      <c r="G97" s="128">
        <f>+G98</f>
        <v>10.3</v>
      </c>
      <c r="H97" s="128"/>
      <c r="I97" s="42"/>
      <c r="J97" s="42"/>
      <c r="K97" s="42"/>
      <c r="L97" s="42"/>
    </row>
    <row r="98" spans="1:12" ht="12" customHeight="1">
      <c r="A98" s="70">
        <v>80</v>
      </c>
      <c r="B98" s="10"/>
      <c r="C98" s="102" t="s">
        <v>3</v>
      </c>
      <c r="D98" s="10"/>
      <c r="E98" s="118">
        <f>+F98+H98</f>
        <v>13.8</v>
      </c>
      <c r="F98" s="118">
        <v>13.8</v>
      </c>
      <c r="G98" s="118">
        <v>10.3</v>
      </c>
      <c r="H98" s="118"/>
      <c r="I98" s="42"/>
      <c r="J98" s="42"/>
      <c r="K98" s="42"/>
      <c r="L98" s="42"/>
    </row>
    <row r="99" spans="1:12" ht="12" customHeight="1">
      <c r="A99" s="70">
        <v>81</v>
      </c>
      <c r="B99" s="10" t="s">
        <v>92</v>
      </c>
      <c r="C99" s="26" t="s">
        <v>93</v>
      </c>
      <c r="D99" s="10" t="s">
        <v>74</v>
      </c>
      <c r="E99" s="128">
        <f>+E100</f>
        <v>0.6</v>
      </c>
      <c r="F99" s="128">
        <f>+F100</f>
        <v>0.6</v>
      </c>
      <c r="G99" s="128">
        <f>+G100</f>
        <v>0.4</v>
      </c>
      <c r="H99" s="128"/>
      <c r="I99" s="42"/>
      <c r="J99" s="42"/>
      <c r="K99" s="42"/>
      <c r="L99" s="42"/>
    </row>
    <row r="100" spans="1:12" ht="12" customHeight="1">
      <c r="A100" s="70">
        <v>82</v>
      </c>
      <c r="B100" s="10"/>
      <c r="C100" s="102" t="s">
        <v>3</v>
      </c>
      <c r="D100" s="10"/>
      <c r="E100" s="118">
        <f>+F100+H100</f>
        <v>0.6</v>
      </c>
      <c r="F100" s="118">
        <v>0.6</v>
      </c>
      <c r="G100" s="118">
        <v>0.4</v>
      </c>
      <c r="H100" s="118"/>
      <c r="I100" s="42"/>
      <c r="J100" s="42"/>
      <c r="K100" s="42"/>
      <c r="L100" s="42"/>
    </row>
    <row r="101" spans="1:12" ht="12" customHeight="1">
      <c r="A101" s="70">
        <v>83</v>
      </c>
      <c r="B101" s="10" t="s">
        <v>94</v>
      </c>
      <c r="C101" s="26" t="s">
        <v>95</v>
      </c>
      <c r="D101" s="10" t="s">
        <v>89</v>
      </c>
      <c r="E101" s="128">
        <f>SUM(E102:E103)</f>
        <v>13</v>
      </c>
      <c r="F101" s="128">
        <f>SUM(F102:F103)</f>
        <v>13</v>
      </c>
      <c r="G101" s="128">
        <f>SUM(G102:G103)</f>
        <v>3.7</v>
      </c>
      <c r="H101" s="128"/>
      <c r="I101" s="42"/>
      <c r="J101" s="42"/>
      <c r="K101" s="42"/>
      <c r="L101" s="42"/>
    </row>
    <row r="102" spans="1:12" ht="12" customHeight="1">
      <c r="A102" s="70">
        <v>84</v>
      </c>
      <c r="B102" s="10"/>
      <c r="C102" s="102" t="s">
        <v>3</v>
      </c>
      <c r="D102" s="10"/>
      <c r="E102" s="118">
        <f>+F102+H102</f>
        <v>8.2</v>
      </c>
      <c r="F102" s="118">
        <v>8.2</v>
      </c>
      <c r="G102" s="118"/>
      <c r="H102" s="118"/>
      <c r="I102" s="42"/>
      <c r="J102" s="42"/>
      <c r="K102" s="42"/>
      <c r="L102" s="42"/>
    </row>
    <row r="103" spans="1:12" ht="24.75" customHeight="1">
      <c r="A103" s="70">
        <v>85</v>
      </c>
      <c r="B103" s="142"/>
      <c r="C103" s="81" t="s">
        <v>8</v>
      </c>
      <c r="D103" s="142"/>
      <c r="E103" s="118">
        <f>+F103+H103</f>
        <v>4.8</v>
      </c>
      <c r="F103" s="118">
        <f>4.7+0.1</f>
        <v>4.8</v>
      </c>
      <c r="G103" s="118">
        <f>3.6+0.1</f>
        <v>3.7</v>
      </c>
      <c r="H103" s="118"/>
      <c r="I103" s="42"/>
      <c r="J103" s="42"/>
      <c r="K103" s="42"/>
      <c r="L103" s="42"/>
    </row>
    <row r="104" spans="1:12" ht="12" customHeight="1">
      <c r="A104" s="70">
        <v>86</v>
      </c>
      <c r="B104" s="10" t="s">
        <v>96</v>
      </c>
      <c r="C104" s="26" t="s">
        <v>97</v>
      </c>
      <c r="D104" s="10" t="s">
        <v>98</v>
      </c>
      <c r="E104" s="128">
        <f>SUM(E105:E115)</f>
        <v>19.5</v>
      </c>
      <c r="F104" s="128">
        <f>SUM(F105:F115)</f>
        <v>19.5</v>
      </c>
      <c r="G104" s="128">
        <f>SUM(G105:G115)</f>
        <v>13.9</v>
      </c>
      <c r="H104" s="128"/>
      <c r="I104" s="42"/>
      <c r="J104" s="42"/>
      <c r="K104" s="42"/>
      <c r="L104" s="42"/>
    </row>
    <row r="105" spans="1:12" ht="24.75" customHeight="1">
      <c r="A105" s="70">
        <v>87</v>
      </c>
      <c r="B105" s="10"/>
      <c r="C105" s="81" t="s">
        <v>8</v>
      </c>
      <c r="D105" s="10"/>
      <c r="E105" s="118">
        <f>+F105+H105</f>
        <v>9.4</v>
      </c>
      <c r="F105" s="118">
        <v>9.4</v>
      </c>
      <c r="G105" s="118">
        <v>6.9</v>
      </c>
      <c r="H105" s="118"/>
      <c r="I105" s="42"/>
      <c r="J105" s="42"/>
      <c r="K105" s="42"/>
      <c r="L105" s="42"/>
    </row>
    <row r="106" spans="1:12" ht="12" customHeight="1">
      <c r="A106" s="70">
        <v>88</v>
      </c>
      <c r="B106" s="10"/>
      <c r="C106" s="81" t="s">
        <v>4</v>
      </c>
      <c r="D106" s="10"/>
      <c r="E106" s="118">
        <f aca="true" t="shared" si="4" ref="E106:E115">+F106+H106</f>
        <v>1.4</v>
      </c>
      <c r="F106" s="118">
        <v>1.4</v>
      </c>
      <c r="G106" s="118">
        <v>1</v>
      </c>
      <c r="H106" s="118"/>
      <c r="I106" s="42"/>
      <c r="J106" s="42"/>
      <c r="K106" s="42"/>
      <c r="L106" s="42"/>
    </row>
    <row r="107" spans="1:12" ht="12" customHeight="1">
      <c r="A107" s="70">
        <v>89</v>
      </c>
      <c r="B107" s="10"/>
      <c r="C107" s="81" t="s">
        <v>5</v>
      </c>
      <c r="D107" s="10"/>
      <c r="E107" s="118">
        <f t="shared" si="4"/>
        <v>1</v>
      </c>
      <c r="F107" s="118">
        <v>1</v>
      </c>
      <c r="G107" s="118">
        <v>0.7</v>
      </c>
      <c r="H107" s="118"/>
      <c r="I107" s="42"/>
      <c r="J107" s="42"/>
      <c r="K107" s="42"/>
      <c r="L107" s="42"/>
    </row>
    <row r="108" spans="1:12" ht="12" customHeight="1">
      <c r="A108" s="70">
        <v>90</v>
      </c>
      <c r="B108" s="10"/>
      <c r="C108" s="81" t="s">
        <v>7</v>
      </c>
      <c r="D108" s="10"/>
      <c r="E108" s="118">
        <f>+F108+H108</f>
        <v>1.4</v>
      </c>
      <c r="F108" s="118">
        <v>1.4</v>
      </c>
      <c r="G108" s="118">
        <v>1</v>
      </c>
      <c r="H108" s="118"/>
      <c r="I108" s="42"/>
      <c r="J108" s="42"/>
      <c r="K108" s="42"/>
      <c r="L108" s="42"/>
    </row>
    <row r="109" spans="1:12" ht="12" customHeight="1">
      <c r="A109" s="70">
        <v>91</v>
      </c>
      <c r="B109" s="10"/>
      <c r="C109" s="81" t="s">
        <v>6</v>
      </c>
      <c r="D109" s="10"/>
      <c r="E109" s="118">
        <f t="shared" si="4"/>
        <v>1</v>
      </c>
      <c r="F109" s="118">
        <v>1</v>
      </c>
      <c r="G109" s="118">
        <v>0.7</v>
      </c>
      <c r="H109" s="118"/>
      <c r="I109" s="42"/>
      <c r="J109" s="42"/>
      <c r="K109" s="42"/>
      <c r="L109" s="42"/>
    </row>
    <row r="110" spans="1:12" ht="12" customHeight="1">
      <c r="A110" s="70">
        <v>92</v>
      </c>
      <c r="B110" s="10"/>
      <c r="C110" s="81" t="s">
        <v>9</v>
      </c>
      <c r="D110" s="10"/>
      <c r="E110" s="118">
        <f t="shared" si="4"/>
        <v>1.4</v>
      </c>
      <c r="F110" s="118">
        <v>1.4</v>
      </c>
      <c r="G110" s="118">
        <v>1</v>
      </c>
      <c r="H110" s="118"/>
      <c r="I110" s="42"/>
      <c r="J110" s="42"/>
      <c r="K110" s="42"/>
      <c r="L110" s="42"/>
    </row>
    <row r="111" spans="1:12" ht="12" customHeight="1">
      <c r="A111" s="70">
        <v>93</v>
      </c>
      <c r="B111" s="10"/>
      <c r="C111" s="91" t="s">
        <v>10</v>
      </c>
      <c r="D111" s="10"/>
      <c r="E111" s="118">
        <f t="shared" si="4"/>
        <v>0.5</v>
      </c>
      <c r="F111" s="118">
        <v>0.5</v>
      </c>
      <c r="G111" s="118">
        <v>0.3</v>
      </c>
      <c r="H111" s="118"/>
      <c r="I111" s="42"/>
      <c r="J111" s="42"/>
      <c r="K111" s="42"/>
      <c r="L111" s="42"/>
    </row>
    <row r="112" spans="1:12" ht="12" customHeight="1">
      <c r="A112" s="70">
        <v>94</v>
      </c>
      <c r="B112" s="10"/>
      <c r="C112" s="81" t="s">
        <v>12</v>
      </c>
      <c r="D112" s="10"/>
      <c r="E112" s="118">
        <f>+F112+H112</f>
        <v>0.5</v>
      </c>
      <c r="F112" s="118">
        <v>0.5</v>
      </c>
      <c r="G112" s="118">
        <v>0.3</v>
      </c>
      <c r="H112" s="118"/>
      <c r="I112" s="42"/>
      <c r="J112" s="42"/>
      <c r="K112" s="42"/>
      <c r="L112" s="42"/>
    </row>
    <row r="113" spans="1:12" ht="12" customHeight="1">
      <c r="A113" s="70">
        <v>95</v>
      </c>
      <c r="B113" s="10"/>
      <c r="C113" s="81" t="s">
        <v>11</v>
      </c>
      <c r="D113" s="10"/>
      <c r="E113" s="118">
        <f t="shared" si="4"/>
        <v>1</v>
      </c>
      <c r="F113" s="118">
        <v>1</v>
      </c>
      <c r="G113" s="118">
        <v>0.7</v>
      </c>
      <c r="H113" s="118"/>
      <c r="I113" s="42"/>
      <c r="J113" s="42"/>
      <c r="K113" s="42"/>
      <c r="L113" s="42"/>
    </row>
    <row r="114" spans="1:12" ht="12" customHeight="1">
      <c r="A114" s="70">
        <v>96</v>
      </c>
      <c r="B114" s="10"/>
      <c r="C114" s="81" t="s">
        <v>13</v>
      </c>
      <c r="D114" s="10"/>
      <c r="E114" s="118">
        <f t="shared" si="4"/>
        <v>0.5</v>
      </c>
      <c r="F114" s="118">
        <v>0.5</v>
      </c>
      <c r="G114" s="118">
        <v>0.3</v>
      </c>
      <c r="H114" s="118"/>
      <c r="I114" s="42"/>
      <c r="J114" s="42"/>
      <c r="K114" s="42"/>
      <c r="L114" s="42"/>
    </row>
    <row r="115" spans="1:12" ht="12" customHeight="1">
      <c r="A115" s="70">
        <v>97</v>
      </c>
      <c r="B115" s="10"/>
      <c r="C115" s="81" t="s">
        <v>14</v>
      </c>
      <c r="D115" s="10"/>
      <c r="E115" s="118">
        <f t="shared" si="4"/>
        <v>1.4</v>
      </c>
      <c r="F115" s="118">
        <v>1.4</v>
      </c>
      <c r="G115" s="118">
        <v>1</v>
      </c>
      <c r="H115" s="118"/>
      <c r="I115" s="42"/>
      <c r="J115" s="42"/>
      <c r="K115" s="42"/>
      <c r="L115" s="42"/>
    </row>
    <row r="116" spans="1:12" ht="24.75" customHeight="1">
      <c r="A116" s="70">
        <v>98</v>
      </c>
      <c r="B116" s="10" t="s">
        <v>241</v>
      </c>
      <c r="C116" s="26" t="s">
        <v>99</v>
      </c>
      <c r="D116" s="10" t="s">
        <v>84</v>
      </c>
      <c r="E116" s="128">
        <f>SUM(E117:E117)</f>
        <v>0.2</v>
      </c>
      <c r="F116" s="128">
        <f>SUM(F117:F117)</f>
        <v>0.2</v>
      </c>
      <c r="G116" s="128">
        <f>SUM(G117:G117)</f>
        <v>0</v>
      </c>
      <c r="H116" s="128"/>
      <c r="I116" s="42"/>
      <c r="J116" s="42"/>
      <c r="K116" s="42"/>
      <c r="L116" s="42"/>
    </row>
    <row r="117" spans="1:12" ht="12" customHeight="1">
      <c r="A117" s="70">
        <v>99</v>
      </c>
      <c r="B117" s="10"/>
      <c r="C117" s="102" t="s">
        <v>3</v>
      </c>
      <c r="D117" s="10"/>
      <c r="E117" s="118">
        <f>+F117+H117</f>
        <v>0.2</v>
      </c>
      <c r="F117" s="118">
        <v>0.2</v>
      </c>
      <c r="G117" s="118"/>
      <c r="H117" s="118"/>
      <c r="I117" s="42"/>
      <c r="J117" s="42"/>
      <c r="K117" s="42"/>
      <c r="L117" s="42"/>
    </row>
    <row r="118" spans="1:12" ht="12" customHeight="1">
      <c r="A118" s="70">
        <v>100</v>
      </c>
      <c r="B118" s="10"/>
      <c r="C118" s="242" t="s">
        <v>22</v>
      </c>
      <c r="D118" s="8"/>
      <c r="E118" s="136">
        <f>+F118+H118</f>
        <v>2986.7</v>
      </c>
      <c r="F118" s="136">
        <f>+F12+F19+F56+F78</f>
        <v>2979.1</v>
      </c>
      <c r="G118" s="136">
        <f>+G12+G19+G56+G78</f>
        <v>1324.1000000000001</v>
      </c>
      <c r="H118" s="119">
        <f>+H12+H19+H56+H78</f>
        <v>7.6</v>
      </c>
      <c r="I118" s="1"/>
      <c r="J118" s="1"/>
      <c r="K118" s="1"/>
      <c r="L118" s="1"/>
    </row>
    <row r="119" spans="2:8" s="21" customFormat="1" ht="10.5" customHeight="1">
      <c r="B119" s="27"/>
      <c r="C119" s="28"/>
      <c r="D119" s="62"/>
      <c r="E119" s="17"/>
      <c r="F119" s="17"/>
      <c r="G119" s="17"/>
      <c r="H119" s="17"/>
    </row>
    <row r="120" spans="2:9" s="21" customFormat="1" ht="12.75">
      <c r="B120" s="27"/>
      <c r="C120" s="21" t="s">
        <v>296</v>
      </c>
      <c r="D120" s="28"/>
      <c r="E120" s="17"/>
      <c r="F120" s="17"/>
      <c r="G120" s="17"/>
      <c r="H120" s="80"/>
      <c r="I120" s="80"/>
    </row>
    <row r="121" spans="2:8" s="21" customFormat="1" ht="12.75">
      <c r="B121" s="27"/>
      <c r="C121" s="28"/>
      <c r="D121" s="62"/>
      <c r="E121" s="17"/>
      <c r="F121" s="16"/>
      <c r="G121" s="16"/>
      <c r="H121" s="16"/>
    </row>
    <row r="122" spans="2:8" s="21" customFormat="1" ht="12.75">
      <c r="B122" s="27"/>
      <c r="C122" s="28"/>
      <c r="D122" s="62"/>
      <c r="E122" s="17"/>
      <c r="F122" s="17"/>
      <c r="G122" s="17"/>
      <c r="H122" s="17"/>
    </row>
    <row r="123" spans="2:8" s="21" customFormat="1" ht="12.75">
      <c r="B123" s="27"/>
      <c r="C123" s="28"/>
      <c r="D123" s="62"/>
      <c r="E123" s="129"/>
      <c r="F123" s="2"/>
      <c r="G123" s="2"/>
      <c r="H123" s="2"/>
    </row>
    <row r="124" spans="2:8" s="21" customFormat="1" ht="12.75">
      <c r="B124" s="27"/>
      <c r="C124" s="28"/>
      <c r="D124" s="62"/>
      <c r="E124" s="2"/>
      <c r="F124" s="1"/>
      <c r="G124" s="2"/>
      <c r="H124" s="2"/>
    </row>
    <row r="125" spans="2:8" s="21" customFormat="1" ht="12.75">
      <c r="B125" s="27"/>
      <c r="C125" s="28"/>
      <c r="D125" s="62"/>
      <c r="E125" s="129"/>
      <c r="F125" s="2"/>
      <c r="G125" s="2"/>
      <c r="H125" s="2"/>
    </row>
    <row r="126" spans="5:8" ht="12.75">
      <c r="E126" s="2"/>
      <c r="F126" s="2"/>
      <c r="G126" s="2"/>
      <c r="H126" s="2"/>
    </row>
  </sheetData>
  <sheetProtection/>
  <mergeCells count="12">
    <mergeCell ref="C7:C10"/>
    <mergeCell ref="D7:D10"/>
    <mergeCell ref="E7:H7"/>
    <mergeCell ref="E8:E10"/>
    <mergeCell ref="F8:H8"/>
    <mergeCell ref="F9:G9"/>
    <mergeCell ref="C1:H1"/>
    <mergeCell ref="C2:H2"/>
    <mergeCell ref="A5:H5"/>
    <mergeCell ref="A7:A10"/>
    <mergeCell ref="C3:H3"/>
    <mergeCell ref="B7:B10"/>
  </mergeCells>
  <printOptions/>
  <pageMargins left="0.31496062992125984" right="0" top="0.7480314960629921" bottom="0.1968503937007874" header="0.31496062992125984" footer="0.31496062992125984"/>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61"/>
  <sheetViews>
    <sheetView zoomScalePageLayoutView="0" workbookViewId="0" topLeftCell="A1">
      <selection activeCell="E51" sqref="E51"/>
    </sheetView>
  </sheetViews>
  <sheetFormatPr defaultColWidth="9.140625" defaultRowHeight="12.75"/>
  <cols>
    <col min="1" max="1" width="4.7109375" style="2" customWidth="1"/>
    <col min="2" max="2" width="5.140625" style="59" customWidth="1"/>
    <col min="3" max="3" width="41.421875" style="59" customWidth="1"/>
    <col min="4" max="4" width="10.7109375" style="6" customWidth="1"/>
    <col min="5" max="6" width="9.421875" style="6" customWidth="1"/>
    <col min="7" max="7" width="9.00390625" style="6" customWidth="1"/>
    <col min="8" max="8" width="8.8515625" style="6" customWidth="1"/>
    <col min="9" max="16384" width="9.140625" style="2" customWidth="1"/>
  </cols>
  <sheetData>
    <row r="1" spans="3:8" ht="15.75">
      <c r="C1" s="291" t="s">
        <v>345</v>
      </c>
      <c r="D1" s="291"/>
      <c r="E1" s="291"/>
      <c r="F1" s="291"/>
      <c r="G1" s="291"/>
      <c r="H1" s="291"/>
    </row>
    <row r="2" spans="3:8" ht="15.75">
      <c r="C2" s="291" t="s">
        <v>938</v>
      </c>
      <c r="D2" s="291"/>
      <c r="E2" s="291"/>
      <c r="F2" s="291"/>
      <c r="G2" s="291"/>
      <c r="H2" s="291"/>
    </row>
    <row r="3" spans="5:8" ht="15.75">
      <c r="E3" s="297" t="s">
        <v>328</v>
      </c>
      <c r="F3" s="297"/>
      <c r="G3" s="297"/>
      <c r="H3" s="297"/>
    </row>
    <row r="4" spans="5:8" ht="15.75">
      <c r="E4" s="31"/>
      <c r="F4" s="31"/>
      <c r="G4" s="31"/>
      <c r="H4" s="31"/>
    </row>
    <row r="5" spans="1:8" ht="38.25" customHeight="1">
      <c r="A5" s="322" t="s">
        <v>602</v>
      </c>
      <c r="B5" s="322"/>
      <c r="C5" s="322"/>
      <c r="D5" s="322"/>
      <c r="E5" s="322"/>
      <c r="F5" s="322"/>
      <c r="G5" s="322"/>
      <c r="H5" s="322"/>
    </row>
    <row r="6" spans="1:8" ht="12.75">
      <c r="A6" s="32"/>
      <c r="B6" s="60"/>
      <c r="C6" s="60"/>
      <c r="D6" s="37"/>
      <c r="E6" s="37"/>
      <c r="F6" s="37"/>
      <c r="G6" s="37"/>
      <c r="H6" s="6" t="s">
        <v>396</v>
      </c>
    </row>
    <row r="7" spans="1:8" ht="12.75" customHeight="1">
      <c r="A7" s="300" t="s">
        <v>0</v>
      </c>
      <c r="B7" s="320" t="s">
        <v>32</v>
      </c>
      <c r="C7" s="310" t="s">
        <v>16</v>
      </c>
      <c r="D7" s="316" t="s">
        <v>131</v>
      </c>
      <c r="E7" s="300" t="s">
        <v>17</v>
      </c>
      <c r="F7" s="300" t="s">
        <v>199</v>
      </c>
      <c r="G7" s="300"/>
      <c r="H7" s="35"/>
    </row>
    <row r="8" spans="1:8" ht="12.75" customHeight="1">
      <c r="A8" s="301"/>
      <c r="B8" s="320"/>
      <c r="C8" s="310"/>
      <c r="D8" s="317"/>
      <c r="E8" s="300"/>
      <c r="F8" s="300" t="s">
        <v>19</v>
      </c>
      <c r="G8" s="300"/>
      <c r="H8" s="300" t="s">
        <v>33</v>
      </c>
    </row>
    <row r="9" spans="1:8" ht="39.75" customHeight="1">
      <c r="A9" s="301"/>
      <c r="B9" s="320"/>
      <c r="C9" s="310"/>
      <c r="D9" s="321"/>
      <c r="E9" s="300"/>
      <c r="F9" s="7" t="s">
        <v>34</v>
      </c>
      <c r="G9" s="7" t="s">
        <v>35</v>
      </c>
      <c r="H9" s="300"/>
    </row>
    <row r="10" spans="1:13" s="15" customFormat="1" ht="12.75" customHeight="1">
      <c r="A10" s="39">
        <v>1</v>
      </c>
      <c r="B10" s="9" t="s">
        <v>20</v>
      </c>
      <c r="C10" s="9" t="s">
        <v>200</v>
      </c>
      <c r="D10" s="7">
        <v>4</v>
      </c>
      <c r="E10" s="7">
        <v>5</v>
      </c>
      <c r="F10" s="7">
        <v>6</v>
      </c>
      <c r="G10" s="7">
        <v>7</v>
      </c>
      <c r="H10" s="39">
        <v>8</v>
      </c>
      <c r="I10" s="2"/>
      <c r="J10" s="2"/>
      <c r="K10" s="2"/>
      <c r="L10" s="2"/>
      <c r="M10" s="2"/>
    </row>
    <row r="11" spans="1:13" s="15" customFormat="1" ht="19.5" customHeight="1">
      <c r="A11" s="70">
        <v>1</v>
      </c>
      <c r="B11" s="8" t="s">
        <v>134</v>
      </c>
      <c r="C11" s="65" t="s">
        <v>135</v>
      </c>
      <c r="D11" s="7"/>
      <c r="E11" s="139">
        <f aca="true" t="shared" si="0" ref="E11:E16">+F11+H11</f>
        <v>10605.2</v>
      </c>
      <c r="F11" s="139">
        <f>+F12</f>
        <v>10532.6</v>
      </c>
      <c r="G11" s="139">
        <f>+G12</f>
        <v>7764.600000000001</v>
      </c>
      <c r="H11" s="139">
        <f>+H12</f>
        <v>72.6</v>
      </c>
      <c r="I11" s="1"/>
      <c r="J11" s="1"/>
      <c r="K11" s="1"/>
      <c r="L11" s="1"/>
      <c r="M11" s="2"/>
    </row>
    <row r="12" spans="1:13" s="15" customFormat="1" ht="24.75" customHeight="1">
      <c r="A12" s="70">
        <v>2</v>
      </c>
      <c r="B12" s="10"/>
      <c r="C12" s="174" t="s">
        <v>202</v>
      </c>
      <c r="D12" s="7"/>
      <c r="E12" s="175">
        <f t="shared" si="0"/>
        <v>10605.2</v>
      </c>
      <c r="F12" s="175">
        <f>+F14+F17+F18+F19+F13+F15+F16+F20+F25+F22+F35+F21+F27+F28+F23+F24+F26+F29+F30+F31+F32+F33+F34+F36+F37+F38+F39+F40+F41+F46+F45</f>
        <v>10532.6</v>
      </c>
      <c r="G12" s="175">
        <f>+G14+G17+G18+G19+G13+G15+G16+G20+G25+G22+G35+G21+G27+G28+G23+G24+G26+G29+G30+G31+G32+G33+G34+G36+G37+G38+G39+G40+G41+G46+G45</f>
        <v>7764.600000000001</v>
      </c>
      <c r="H12" s="176">
        <f>+H14+H17+H18+H19+H13+H15+H16+H20+H25+H22+H35+H21+H27+H28+H23+H24+H26+H29+H30+H31+H32+H33+H34+H36+H37+H38+H39+H40+H41+H46+H45</f>
        <v>72.6</v>
      </c>
      <c r="I12" s="1"/>
      <c r="J12" s="1"/>
      <c r="K12" s="1"/>
      <c r="L12" s="1"/>
      <c r="M12" s="2"/>
    </row>
    <row r="13" spans="1:12" ht="14.25" customHeight="1">
      <c r="A13" s="70">
        <v>3</v>
      </c>
      <c r="B13" s="116"/>
      <c r="C13" s="40" t="s">
        <v>246</v>
      </c>
      <c r="D13" s="10" t="s">
        <v>136</v>
      </c>
      <c r="E13" s="124">
        <f t="shared" si="0"/>
        <v>146.5</v>
      </c>
      <c r="F13" s="124">
        <f>146+0.5</f>
        <v>146.5</v>
      </c>
      <c r="G13" s="124">
        <f>107.3+0.4</f>
        <v>107.7</v>
      </c>
      <c r="H13" s="124"/>
      <c r="I13" s="1"/>
      <c r="J13" s="1"/>
      <c r="K13" s="1"/>
      <c r="L13" s="1"/>
    </row>
    <row r="14" spans="1:12" ht="12" customHeight="1">
      <c r="A14" s="70">
        <v>4</v>
      </c>
      <c r="B14" s="116"/>
      <c r="C14" s="40" t="s">
        <v>125</v>
      </c>
      <c r="D14" s="10" t="s">
        <v>136</v>
      </c>
      <c r="E14" s="124">
        <f t="shared" si="0"/>
        <v>168.4</v>
      </c>
      <c r="F14" s="124">
        <f>171-2.6</f>
        <v>168.4</v>
      </c>
      <c r="G14" s="124">
        <f>125.7-1.9</f>
        <v>123.8</v>
      </c>
      <c r="H14" s="124"/>
      <c r="I14" s="1"/>
      <c r="J14" s="1"/>
      <c r="K14" s="1"/>
      <c r="L14" s="1"/>
    </row>
    <row r="15" spans="1:12" ht="12" customHeight="1">
      <c r="A15" s="70">
        <v>5</v>
      </c>
      <c r="B15" s="116"/>
      <c r="C15" s="40" t="s">
        <v>910</v>
      </c>
      <c r="D15" s="10" t="s">
        <v>137</v>
      </c>
      <c r="E15" s="124">
        <f t="shared" si="0"/>
        <v>170.4</v>
      </c>
      <c r="F15" s="124">
        <f>170.8-0.4-9.5</f>
        <v>160.9</v>
      </c>
      <c r="G15" s="124">
        <f>125.5-0.3-13.6</f>
        <v>111.60000000000001</v>
      </c>
      <c r="H15" s="124">
        <v>9.5</v>
      </c>
      <c r="I15" s="1"/>
      <c r="J15" s="1"/>
      <c r="K15" s="1"/>
      <c r="L15" s="1"/>
    </row>
    <row r="16" spans="1:12" ht="12" customHeight="1">
      <c r="A16" s="70">
        <v>6</v>
      </c>
      <c r="B16" s="116"/>
      <c r="C16" s="40" t="s">
        <v>911</v>
      </c>
      <c r="D16" s="10" t="s">
        <v>137</v>
      </c>
      <c r="E16" s="124">
        <f t="shared" si="0"/>
        <v>200.9</v>
      </c>
      <c r="F16" s="124">
        <f>195.5+5.4</f>
        <v>200.9</v>
      </c>
      <c r="G16" s="124">
        <f>143.8+4.2</f>
        <v>148</v>
      </c>
      <c r="H16" s="124"/>
      <c r="I16" s="1"/>
      <c r="J16" s="1"/>
      <c r="K16" s="1"/>
      <c r="L16" s="1"/>
    </row>
    <row r="17" spans="1:12" ht="12" customHeight="1">
      <c r="A17" s="70">
        <v>7</v>
      </c>
      <c r="B17" s="116"/>
      <c r="C17" s="40" t="s">
        <v>103</v>
      </c>
      <c r="D17" s="10" t="s">
        <v>136</v>
      </c>
      <c r="E17" s="124">
        <f aca="true" t="shared" si="1" ref="E17:E46">+F17+H17</f>
        <v>198.29999999999998</v>
      </c>
      <c r="F17" s="124">
        <f>200.6-2.3</f>
        <v>198.29999999999998</v>
      </c>
      <c r="G17" s="124">
        <f>145.4+0.3</f>
        <v>145.70000000000002</v>
      </c>
      <c r="H17" s="124"/>
      <c r="I17" s="1"/>
      <c r="J17" s="1"/>
      <c r="K17" s="1"/>
      <c r="L17" s="1"/>
    </row>
    <row r="18" spans="1:12" ht="12" customHeight="1">
      <c r="A18" s="70">
        <v>8</v>
      </c>
      <c r="B18" s="116"/>
      <c r="C18" s="40" t="s">
        <v>104</v>
      </c>
      <c r="D18" s="10" t="s">
        <v>136</v>
      </c>
      <c r="E18" s="124">
        <f t="shared" si="1"/>
        <v>176.79999999999998</v>
      </c>
      <c r="F18" s="124">
        <f>175.6+1.2</f>
        <v>176.79999999999998</v>
      </c>
      <c r="G18" s="124">
        <f>130.2+1.1</f>
        <v>131.29999999999998</v>
      </c>
      <c r="H18" s="124"/>
      <c r="I18" s="1"/>
      <c r="J18" s="1"/>
      <c r="K18" s="1"/>
      <c r="L18" s="1"/>
    </row>
    <row r="19" spans="1:14" ht="12" customHeight="1">
      <c r="A19" s="70">
        <v>9</v>
      </c>
      <c r="B19" s="116"/>
      <c r="C19" s="40" t="s">
        <v>126</v>
      </c>
      <c r="D19" s="10" t="s">
        <v>136</v>
      </c>
      <c r="E19" s="124">
        <f t="shared" si="1"/>
        <v>185.7</v>
      </c>
      <c r="F19" s="124">
        <f>185.7-1</f>
        <v>184.7</v>
      </c>
      <c r="G19" s="124">
        <v>136.4</v>
      </c>
      <c r="H19" s="124">
        <v>1</v>
      </c>
      <c r="I19" s="1"/>
      <c r="J19" s="1"/>
      <c r="K19" s="1"/>
      <c r="L19" s="1"/>
      <c r="N19" s="15"/>
    </row>
    <row r="20" spans="1:12" ht="12" customHeight="1">
      <c r="A20" s="70">
        <v>10</v>
      </c>
      <c r="B20" s="179"/>
      <c r="C20" s="36" t="s">
        <v>114</v>
      </c>
      <c r="D20" s="142" t="s">
        <v>137</v>
      </c>
      <c r="E20" s="124">
        <f t="shared" si="1"/>
        <v>222</v>
      </c>
      <c r="F20" s="124">
        <f>221+1</f>
        <v>222</v>
      </c>
      <c r="G20" s="124">
        <f>163.5+0.8</f>
        <v>164.3</v>
      </c>
      <c r="H20" s="124"/>
      <c r="I20" s="1"/>
      <c r="J20" s="1"/>
      <c r="K20" s="1"/>
      <c r="L20" s="1"/>
    </row>
    <row r="21" spans="1:12" ht="12" customHeight="1">
      <c r="A21" s="70">
        <v>11</v>
      </c>
      <c r="B21" s="179"/>
      <c r="C21" s="40" t="s">
        <v>106</v>
      </c>
      <c r="D21" s="142" t="s">
        <v>138</v>
      </c>
      <c r="E21" s="124">
        <f>+F21+H21</f>
        <v>837</v>
      </c>
      <c r="F21" s="124">
        <f>851.7-14.7</f>
        <v>837</v>
      </c>
      <c r="G21" s="124">
        <f>633.7-10.7</f>
        <v>623</v>
      </c>
      <c r="H21" s="124"/>
      <c r="I21" s="1"/>
      <c r="J21" s="1"/>
      <c r="K21" s="1"/>
      <c r="L21" s="1"/>
    </row>
    <row r="22" spans="1:12" ht="14.25" customHeight="1">
      <c r="A22" s="70">
        <v>12</v>
      </c>
      <c r="B22" s="179"/>
      <c r="C22" s="40" t="s">
        <v>115</v>
      </c>
      <c r="D22" s="10" t="s">
        <v>138</v>
      </c>
      <c r="E22" s="124">
        <f>+F22+H22</f>
        <v>682.2</v>
      </c>
      <c r="F22" s="124">
        <f>680.1+2.1-6.3</f>
        <v>675.9000000000001</v>
      </c>
      <c r="G22" s="124">
        <f>506+1.4-2</f>
        <v>505.4</v>
      </c>
      <c r="H22" s="124">
        <v>6.3</v>
      </c>
      <c r="I22" s="1"/>
      <c r="J22" s="1"/>
      <c r="K22" s="1"/>
      <c r="L22" s="1"/>
    </row>
    <row r="23" spans="1:12" ht="12" customHeight="1">
      <c r="A23" s="70">
        <v>13</v>
      </c>
      <c r="B23" s="116"/>
      <c r="C23" s="36" t="s">
        <v>414</v>
      </c>
      <c r="D23" s="10" t="s">
        <v>138</v>
      </c>
      <c r="E23" s="124">
        <f>+F23+H23</f>
        <v>765.2</v>
      </c>
      <c r="F23" s="124">
        <f>772-1-6.8-11.9</f>
        <v>752.3000000000001</v>
      </c>
      <c r="G23" s="124">
        <f>575.4-4.7-21.5</f>
        <v>549.1999999999999</v>
      </c>
      <c r="H23" s="124">
        <f>1+11.9</f>
        <v>12.9</v>
      </c>
      <c r="I23" s="1"/>
      <c r="J23" s="1"/>
      <c r="K23" s="1"/>
      <c r="L23" s="1"/>
    </row>
    <row r="24" spans="1:12" ht="12" customHeight="1">
      <c r="A24" s="70">
        <v>14</v>
      </c>
      <c r="B24" s="179"/>
      <c r="C24" s="36" t="s">
        <v>415</v>
      </c>
      <c r="D24" s="142" t="s">
        <v>138</v>
      </c>
      <c r="E24" s="124">
        <f>+F24+H24</f>
        <v>604.3000000000001</v>
      </c>
      <c r="F24" s="124">
        <f>612.7-8.4</f>
        <v>604.3000000000001</v>
      </c>
      <c r="G24" s="124">
        <f>456.9-6.1</f>
        <v>450.79999999999995</v>
      </c>
      <c r="H24" s="124"/>
      <c r="I24" s="1"/>
      <c r="J24" s="1"/>
      <c r="K24" s="1"/>
      <c r="L24" s="1"/>
    </row>
    <row r="25" spans="1:12" ht="12" customHeight="1">
      <c r="A25" s="70">
        <v>15</v>
      </c>
      <c r="B25" s="179"/>
      <c r="C25" s="36" t="s">
        <v>107</v>
      </c>
      <c r="D25" s="142" t="s">
        <v>138</v>
      </c>
      <c r="E25" s="124">
        <f t="shared" si="1"/>
        <v>588.6</v>
      </c>
      <c r="F25" s="124">
        <f>618-1.2-29.4-16.8</f>
        <v>570.6</v>
      </c>
      <c r="G25" s="124">
        <f>460.5-22-12.7</f>
        <v>425.8</v>
      </c>
      <c r="H25" s="124">
        <f>1.2+16.8</f>
        <v>18</v>
      </c>
      <c r="I25" s="1"/>
      <c r="J25" s="1"/>
      <c r="K25" s="1"/>
      <c r="L25" s="1"/>
    </row>
    <row r="26" spans="1:12" ht="12" customHeight="1">
      <c r="A26" s="70">
        <v>16</v>
      </c>
      <c r="B26" s="179"/>
      <c r="C26" s="40" t="s">
        <v>420</v>
      </c>
      <c r="D26" s="142" t="s">
        <v>138</v>
      </c>
      <c r="E26" s="124">
        <f>+F26+H26</f>
        <v>488.9</v>
      </c>
      <c r="F26" s="124">
        <f>488.5+0.4</f>
        <v>488.9</v>
      </c>
      <c r="G26" s="124">
        <f>363.9+0.2-3.8</f>
        <v>360.29999999999995</v>
      </c>
      <c r="H26" s="124"/>
      <c r="I26" s="1"/>
      <c r="J26" s="1"/>
      <c r="K26" s="1"/>
      <c r="L26" s="1"/>
    </row>
    <row r="27" spans="1:12" ht="24.75" customHeight="1">
      <c r="A27" s="70">
        <v>17</v>
      </c>
      <c r="B27" s="116"/>
      <c r="C27" s="36" t="s">
        <v>352</v>
      </c>
      <c r="D27" s="10" t="s">
        <v>139</v>
      </c>
      <c r="E27" s="124">
        <f t="shared" si="1"/>
        <v>876.1</v>
      </c>
      <c r="F27" s="124">
        <f>859.2+16.9</f>
        <v>876.1</v>
      </c>
      <c r="G27" s="124">
        <f>635.4+12.5</f>
        <v>647.9</v>
      </c>
      <c r="H27" s="124"/>
      <c r="I27" s="1"/>
      <c r="J27" s="1"/>
      <c r="K27" s="1"/>
      <c r="L27" s="1"/>
    </row>
    <row r="28" spans="1:12" ht="12" customHeight="1">
      <c r="A28" s="70">
        <v>18</v>
      </c>
      <c r="B28" s="116"/>
      <c r="C28" s="40" t="s">
        <v>354</v>
      </c>
      <c r="D28" s="12" t="s">
        <v>191</v>
      </c>
      <c r="E28" s="124">
        <f t="shared" si="1"/>
        <v>1071.1999999999998</v>
      </c>
      <c r="F28" s="124">
        <f>1076.1-5-4.9</f>
        <v>1066.1999999999998</v>
      </c>
      <c r="G28" s="124">
        <f>795.6-3.8-7.8</f>
        <v>784.0000000000001</v>
      </c>
      <c r="H28" s="124">
        <v>5</v>
      </c>
      <c r="I28" s="1"/>
      <c r="J28" s="1"/>
      <c r="K28" s="1"/>
      <c r="L28" s="1"/>
    </row>
    <row r="29" spans="1:12" ht="12" customHeight="1">
      <c r="A29" s="70">
        <v>19</v>
      </c>
      <c r="B29" s="179"/>
      <c r="C29" s="36" t="s">
        <v>353</v>
      </c>
      <c r="D29" s="251" t="s">
        <v>191</v>
      </c>
      <c r="E29" s="124">
        <f t="shared" si="1"/>
        <v>714.6</v>
      </c>
      <c r="F29" s="124">
        <f>708.9+5.7</f>
        <v>714.6</v>
      </c>
      <c r="G29" s="124">
        <f>525.5+4.3-13.7</f>
        <v>516.0999999999999</v>
      </c>
      <c r="H29" s="124"/>
      <c r="I29" s="1"/>
      <c r="J29" s="1"/>
      <c r="K29" s="1"/>
      <c r="L29" s="1"/>
    </row>
    <row r="30" spans="1:12" ht="12" customHeight="1">
      <c r="A30" s="70">
        <v>20</v>
      </c>
      <c r="B30" s="116"/>
      <c r="C30" s="36" t="s">
        <v>108</v>
      </c>
      <c r="D30" s="10" t="s">
        <v>139</v>
      </c>
      <c r="E30" s="124">
        <f t="shared" si="1"/>
        <v>237.4</v>
      </c>
      <c r="F30" s="124">
        <f>236.4-1.1+1</f>
        <v>236.3</v>
      </c>
      <c r="G30" s="124">
        <f>176.8+0.8</f>
        <v>177.60000000000002</v>
      </c>
      <c r="H30" s="124">
        <v>1.1</v>
      </c>
      <c r="I30" s="1"/>
      <c r="J30" s="1"/>
      <c r="K30" s="1"/>
      <c r="L30" s="1"/>
    </row>
    <row r="31" spans="1:12" ht="12" customHeight="1">
      <c r="A31" s="70">
        <v>21</v>
      </c>
      <c r="B31" s="179"/>
      <c r="C31" s="36" t="s">
        <v>417</v>
      </c>
      <c r="D31" s="142" t="s">
        <v>139</v>
      </c>
      <c r="E31" s="124">
        <f t="shared" si="1"/>
        <v>501.5</v>
      </c>
      <c r="F31" s="124">
        <f>492.4-2+9.1-3.5</f>
        <v>496</v>
      </c>
      <c r="G31" s="124">
        <f>367.9+7-3.5</f>
        <v>371.4</v>
      </c>
      <c r="H31" s="124">
        <f>2+3.5</f>
        <v>5.5</v>
      </c>
      <c r="I31" s="1"/>
      <c r="J31" s="1"/>
      <c r="K31" s="1"/>
      <c r="L31" s="1"/>
    </row>
    <row r="32" spans="1:12" ht="12" customHeight="1">
      <c r="A32" s="70">
        <v>22</v>
      </c>
      <c r="B32" s="116"/>
      <c r="C32" s="36" t="s">
        <v>418</v>
      </c>
      <c r="D32" s="10" t="s">
        <v>139</v>
      </c>
      <c r="E32" s="124">
        <f t="shared" si="1"/>
        <v>231.6</v>
      </c>
      <c r="F32" s="124">
        <f>235.5-3.9-2.4</f>
        <v>229.2</v>
      </c>
      <c r="G32" s="124">
        <f>176.8-2.9-18.1</f>
        <v>155.8</v>
      </c>
      <c r="H32" s="124">
        <v>2.4</v>
      </c>
      <c r="I32" s="1"/>
      <c r="J32" s="1"/>
      <c r="K32" s="1"/>
      <c r="L32" s="1"/>
    </row>
    <row r="33" spans="1:12" ht="27" customHeight="1">
      <c r="A33" s="70">
        <v>23</v>
      </c>
      <c r="B33" s="179"/>
      <c r="C33" s="36" t="s">
        <v>109</v>
      </c>
      <c r="D33" s="142" t="s">
        <v>139</v>
      </c>
      <c r="E33" s="124">
        <f t="shared" si="1"/>
        <v>226.9</v>
      </c>
      <c r="F33" s="124">
        <f>225.1+1.8-2.2</f>
        <v>224.70000000000002</v>
      </c>
      <c r="G33" s="124">
        <f>168.7+1.3-4.2</f>
        <v>165.8</v>
      </c>
      <c r="H33" s="124">
        <v>2.2</v>
      </c>
      <c r="I33" s="1"/>
      <c r="J33" s="1"/>
      <c r="K33" s="1"/>
      <c r="L33" s="1"/>
    </row>
    <row r="34" spans="1:12" ht="14.25" customHeight="1">
      <c r="A34" s="70">
        <v>24</v>
      </c>
      <c r="B34" s="116"/>
      <c r="C34" s="36" t="s">
        <v>419</v>
      </c>
      <c r="D34" s="10" t="s">
        <v>139</v>
      </c>
      <c r="E34" s="124">
        <f t="shared" si="1"/>
        <v>246.4</v>
      </c>
      <c r="F34" s="124">
        <f>244+2.4-1.2</f>
        <v>245.20000000000002</v>
      </c>
      <c r="G34" s="124">
        <f>182.8+1.8-8.5</f>
        <v>176.10000000000002</v>
      </c>
      <c r="H34" s="124">
        <v>1.2</v>
      </c>
      <c r="I34" s="1"/>
      <c r="J34" s="1"/>
      <c r="K34" s="1"/>
      <c r="L34" s="1"/>
    </row>
    <row r="35" spans="1:12" ht="28.5" customHeight="1">
      <c r="A35" s="70">
        <v>25</v>
      </c>
      <c r="B35" s="271"/>
      <c r="C35" s="36" t="s">
        <v>293</v>
      </c>
      <c r="D35" s="12" t="s">
        <v>603</v>
      </c>
      <c r="E35" s="124">
        <f>+F35+H35</f>
        <v>311.6</v>
      </c>
      <c r="F35" s="124">
        <f>301.3+10.3</f>
        <v>311.6</v>
      </c>
      <c r="G35" s="124">
        <f>223.9+7.7-3.8</f>
        <v>227.79999999999998</v>
      </c>
      <c r="H35" s="124"/>
      <c r="I35" s="1"/>
      <c r="J35" s="1"/>
      <c r="K35" s="1"/>
      <c r="L35" s="1"/>
    </row>
    <row r="36" spans="1:12" ht="12" customHeight="1">
      <c r="A36" s="70">
        <v>26</v>
      </c>
      <c r="B36" s="179"/>
      <c r="C36" s="40" t="s">
        <v>118</v>
      </c>
      <c r="D36" s="142" t="s">
        <v>139</v>
      </c>
      <c r="E36" s="124">
        <f>+F36+H36</f>
        <v>399</v>
      </c>
      <c r="F36" s="124">
        <f>397+2-7.5</f>
        <v>391.5</v>
      </c>
      <c r="G36" s="124">
        <f>298.8+1.5-7.5</f>
        <v>292.8</v>
      </c>
      <c r="H36" s="124">
        <v>7.5</v>
      </c>
      <c r="I36" s="1"/>
      <c r="J36" s="1"/>
      <c r="K36" s="1"/>
      <c r="L36" s="1"/>
    </row>
    <row r="37" spans="1:12" ht="12" customHeight="1">
      <c r="A37" s="70">
        <v>27</v>
      </c>
      <c r="B37" s="116"/>
      <c r="C37" s="40" t="s">
        <v>127</v>
      </c>
      <c r="D37" s="10" t="s">
        <v>140</v>
      </c>
      <c r="E37" s="124">
        <f t="shared" si="1"/>
        <v>16.900000000000002</v>
      </c>
      <c r="F37" s="124">
        <f>16.6+0.3</f>
        <v>16.900000000000002</v>
      </c>
      <c r="G37" s="124">
        <f>12.7+0.2</f>
        <v>12.899999999999999</v>
      </c>
      <c r="H37" s="124"/>
      <c r="I37" s="1"/>
      <c r="J37" s="1"/>
      <c r="K37" s="1"/>
      <c r="L37" s="1"/>
    </row>
    <row r="38" spans="1:12" ht="12" customHeight="1">
      <c r="A38" s="70">
        <v>28</v>
      </c>
      <c r="B38" s="116"/>
      <c r="C38" s="40" t="s">
        <v>116</v>
      </c>
      <c r="D38" s="10" t="s">
        <v>140</v>
      </c>
      <c r="E38" s="124">
        <f t="shared" si="1"/>
        <v>9.600000000000001</v>
      </c>
      <c r="F38" s="124">
        <f>9.8-0.2</f>
        <v>9.600000000000001</v>
      </c>
      <c r="G38" s="124">
        <f>7.5-0.2</f>
        <v>7.3</v>
      </c>
      <c r="H38" s="124"/>
      <c r="I38" s="1"/>
      <c r="J38" s="1"/>
      <c r="K38" s="1"/>
      <c r="L38" s="1"/>
    </row>
    <row r="39" spans="1:12" ht="12" customHeight="1">
      <c r="A39" s="70">
        <v>29</v>
      </c>
      <c r="B39" s="116"/>
      <c r="C39" s="40" t="s">
        <v>117</v>
      </c>
      <c r="D39" s="10" t="s">
        <v>140</v>
      </c>
      <c r="E39" s="124">
        <f t="shared" si="1"/>
        <v>34.1</v>
      </c>
      <c r="F39" s="124">
        <f>34+0.1</f>
        <v>34.1</v>
      </c>
      <c r="G39" s="124">
        <v>26</v>
      </c>
      <c r="H39" s="124"/>
      <c r="I39" s="1"/>
      <c r="J39" s="1"/>
      <c r="K39" s="1"/>
      <c r="L39" s="1"/>
    </row>
    <row r="40" spans="1:12" ht="12" customHeight="1">
      <c r="A40" s="70">
        <v>30</v>
      </c>
      <c r="B40" s="116"/>
      <c r="C40" s="40" t="s">
        <v>294</v>
      </c>
      <c r="D40" s="10" t="s">
        <v>140</v>
      </c>
      <c r="E40" s="124">
        <f t="shared" si="1"/>
        <v>44.8</v>
      </c>
      <c r="F40" s="124">
        <f>46-1.2</f>
        <v>44.8</v>
      </c>
      <c r="G40" s="124">
        <f>35.1-0.9</f>
        <v>34.2</v>
      </c>
      <c r="H40" s="124"/>
      <c r="I40" s="1"/>
      <c r="J40" s="1"/>
      <c r="K40" s="1"/>
      <c r="L40" s="1"/>
    </row>
    <row r="41" spans="1:12" ht="12" customHeight="1">
      <c r="A41" s="70">
        <v>31</v>
      </c>
      <c r="B41" s="116"/>
      <c r="C41" s="40" t="s">
        <v>221</v>
      </c>
      <c r="D41" s="10" t="s">
        <v>220</v>
      </c>
      <c r="E41" s="124">
        <f>+F41+H41</f>
        <v>139</v>
      </c>
      <c r="F41" s="124">
        <f>+F42+F43+F44</f>
        <v>139</v>
      </c>
      <c r="G41" s="124">
        <f>+G42+G43+G44</f>
        <v>105</v>
      </c>
      <c r="H41" s="124">
        <f>+H42+H43+H44</f>
        <v>0</v>
      </c>
      <c r="I41" s="1"/>
      <c r="J41" s="1"/>
      <c r="K41" s="1"/>
      <c r="L41" s="1"/>
    </row>
    <row r="42" spans="1:12" ht="24.75" customHeight="1">
      <c r="A42" s="256" t="s">
        <v>653</v>
      </c>
      <c r="B42" s="272"/>
      <c r="C42" s="104" t="s">
        <v>222</v>
      </c>
      <c r="D42" s="10"/>
      <c r="E42" s="124">
        <f t="shared" si="1"/>
        <v>80.9</v>
      </c>
      <c r="F42" s="124">
        <f>76.7+4.2</f>
        <v>80.9</v>
      </c>
      <c r="G42" s="124">
        <f>58.6+3.2</f>
        <v>61.800000000000004</v>
      </c>
      <c r="H42" s="124"/>
      <c r="I42" s="1"/>
      <c r="J42" s="1"/>
      <c r="K42" s="1"/>
      <c r="L42" s="1"/>
    </row>
    <row r="43" spans="1:12" ht="12" customHeight="1">
      <c r="A43" s="256" t="s">
        <v>791</v>
      </c>
      <c r="B43" s="272"/>
      <c r="C43" s="273" t="s">
        <v>203</v>
      </c>
      <c r="D43" s="10"/>
      <c r="E43" s="124">
        <f t="shared" si="1"/>
        <v>9.6</v>
      </c>
      <c r="F43" s="124">
        <f>9.7-0.1</f>
        <v>9.6</v>
      </c>
      <c r="G43" s="124">
        <v>7.4</v>
      </c>
      <c r="H43" s="124"/>
      <c r="I43" s="1"/>
      <c r="J43" s="1"/>
      <c r="K43" s="1"/>
      <c r="L43" s="1"/>
    </row>
    <row r="44" spans="1:12" ht="12" customHeight="1">
      <c r="A44" s="256" t="s">
        <v>792</v>
      </c>
      <c r="B44" s="272"/>
      <c r="C44" s="273" t="s">
        <v>355</v>
      </c>
      <c r="D44" s="10"/>
      <c r="E44" s="124">
        <f t="shared" si="1"/>
        <v>48.5</v>
      </c>
      <c r="F44" s="124">
        <f>63.6-15.1</f>
        <v>48.5</v>
      </c>
      <c r="G44" s="124">
        <f>46.9-11.1</f>
        <v>35.8</v>
      </c>
      <c r="H44" s="124"/>
      <c r="I44" s="1"/>
      <c r="J44" s="1"/>
      <c r="K44" s="1"/>
      <c r="L44" s="1"/>
    </row>
    <row r="45" spans="1:12" ht="12" customHeight="1">
      <c r="A45" s="70">
        <v>32</v>
      </c>
      <c r="B45" s="116"/>
      <c r="C45" s="274" t="s">
        <v>15</v>
      </c>
      <c r="D45" s="10" t="s">
        <v>136</v>
      </c>
      <c r="E45" s="124">
        <f>+F45+H45</f>
        <v>65.4</v>
      </c>
      <c r="F45" s="124">
        <f>66.4-1</f>
        <v>65.4</v>
      </c>
      <c r="G45" s="124">
        <f>49-0.7</f>
        <v>48.3</v>
      </c>
      <c r="H45" s="124"/>
      <c r="I45" s="1"/>
      <c r="J45" s="1"/>
      <c r="K45" s="1"/>
      <c r="L45" s="1"/>
    </row>
    <row r="46" spans="1:12" ht="12" customHeight="1">
      <c r="A46" s="70">
        <v>33</v>
      </c>
      <c r="B46" s="116"/>
      <c r="C46" s="274" t="s">
        <v>204</v>
      </c>
      <c r="D46" s="10" t="s">
        <v>136</v>
      </c>
      <c r="E46" s="124">
        <f t="shared" si="1"/>
        <v>43.900000000000006</v>
      </c>
      <c r="F46" s="124">
        <f>45.2-1.3</f>
        <v>43.900000000000006</v>
      </c>
      <c r="G46" s="124">
        <f>33.3-1</f>
        <v>32.3</v>
      </c>
      <c r="H46" s="124"/>
      <c r="I46" s="1"/>
      <c r="J46" s="1"/>
      <c r="K46" s="1"/>
      <c r="L46" s="1"/>
    </row>
    <row r="47" spans="1:12" ht="12.75" customHeight="1">
      <c r="A47" s="70">
        <v>34</v>
      </c>
      <c r="B47" s="149"/>
      <c r="C47" s="64" t="s">
        <v>22</v>
      </c>
      <c r="D47" s="10"/>
      <c r="E47" s="152">
        <f>+F47+H47</f>
        <v>10605.2</v>
      </c>
      <c r="F47" s="152">
        <f>+F11</f>
        <v>10532.6</v>
      </c>
      <c r="G47" s="152">
        <f>+G11</f>
        <v>7764.600000000001</v>
      </c>
      <c r="H47" s="123">
        <f>+H11</f>
        <v>72.6</v>
      </c>
      <c r="I47" s="1"/>
      <c r="J47" s="1"/>
      <c r="K47" s="1"/>
      <c r="L47" s="1"/>
    </row>
    <row r="48" spans="3:8" ht="12.75">
      <c r="C48" s="61" t="s">
        <v>295</v>
      </c>
      <c r="D48" s="62"/>
      <c r="E48" s="17"/>
      <c r="F48" s="42"/>
      <c r="G48" s="42"/>
      <c r="H48" s="42"/>
    </row>
    <row r="49" spans="5:8" ht="12.75">
      <c r="E49" s="1"/>
      <c r="F49" s="42"/>
      <c r="G49" s="42"/>
      <c r="H49" s="42"/>
    </row>
    <row r="50" spans="4:8" ht="12.75">
      <c r="D50" s="2"/>
      <c r="E50" s="1"/>
      <c r="F50" s="1"/>
      <c r="G50" s="1"/>
      <c r="H50" s="1"/>
    </row>
    <row r="51" spans="4:8" ht="12.75">
      <c r="D51" s="2"/>
      <c r="E51" s="1"/>
      <c r="F51" s="1"/>
      <c r="G51" s="1"/>
      <c r="H51" s="1"/>
    </row>
    <row r="52" spans="4:8" ht="12.75">
      <c r="D52" s="2"/>
      <c r="E52" s="181"/>
      <c r="F52" s="1"/>
      <c r="G52" s="1"/>
      <c r="H52" s="1"/>
    </row>
    <row r="53" spans="4:8" ht="12.75">
      <c r="D53" s="2"/>
      <c r="E53" s="1"/>
      <c r="F53" s="1"/>
      <c r="G53" s="1"/>
      <c r="H53" s="1"/>
    </row>
    <row r="54" spans="3:8" ht="12.75">
      <c r="C54" s="2"/>
      <c r="D54" s="2"/>
      <c r="E54" s="17"/>
      <c r="F54" s="17"/>
      <c r="G54" s="17"/>
      <c r="H54" s="17"/>
    </row>
    <row r="55" spans="4:8" ht="12.75">
      <c r="D55" s="2"/>
      <c r="E55" s="17"/>
      <c r="F55" s="2"/>
      <c r="G55" s="2"/>
      <c r="H55" s="2"/>
    </row>
    <row r="56" spans="4:8" ht="12.75">
      <c r="D56" s="2"/>
      <c r="E56" s="17"/>
      <c r="F56" s="1"/>
      <c r="G56" s="1"/>
      <c r="H56" s="1"/>
    </row>
    <row r="57" spans="4:8" ht="12.75">
      <c r="D57" s="2"/>
      <c r="E57" s="1"/>
      <c r="F57" s="1"/>
      <c r="G57" s="1"/>
      <c r="H57" s="1"/>
    </row>
    <row r="58" spans="4:8" ht="12.75">
      <c r="D58" s="2"/>
      <c r="E58" s="2"/>
      <c r="F58" s="2"/>
      <c r="G58" s="2"/>
      <c r="H58" s="2"/>
    </row>
    <row r="59" spans="4:8" ht="12.75">
      <c r="D59" s="2"/>
      <c r="E59" s="1"/>
      <c r="F59" s="1"/>
      <c r="G59" s="1"/>
      <c r="H59" s="1"/>
    </row>
    <row r="60" spans="4:8" ht="12.75">
      <c r="D60" s="2"/>
      <c r="E60" s="2"/>
      <c r="F60" s="2"/>
      <c r="G60" s="2"/>
      <c r="H60" s="2"/>
    </row>
    <row r="61" spans="4:8" ht="12.75">
      <c r="D61" s="2"/>
      <c r="E61" s="2"/>
      <c r="F61" s="2"/>
      <c r="G61" s="2"/>
      <c r="H61" s="2"/>
    </row>
  </sheetData>
  <sheetProtection/>
  <mergeCells count="12">
    <mergeCell ref="H8:H9"/>
    <mergeCell ref="C1:H1"/>
    <mergeCell ref="C2:H2"/>
    <mergeCell ref="E3:H3"/>
    <mergeCell ref="A5:H5"/>
    <mergeCell ref="A7:A9"/>
    <mergeCell ref="B7:B9"/>
    <mergeCell ref="C7:C9"/>
    <mergeCell ref="D7:D9"/>
    <mergeCell ref="E7:E9"/>
    <mergeCell ref="F7:G7"/>
    <mergeCell ref="F8:G8"/>
  </mergeCells>
  <printOptions/>
  <pageMargins left="0.5118110236220472" right="0.11811023622047245" top="0.15748031496062992"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V.Sirvaitiene</dc:creator>
  <cp:keywords/>
  <dc:description/>
  <cp:lastModifiedBy>Vartotoja</cp:lastModifiedBy>
  <cp:lastPrinted>2017-11-14T07:37:37Z</cp:lastPrinted>
  <dcterms:created xsi:type="dcterms:W3CDTF">1996-10-14T23:33:28Z</dcterms:created>
  <dcterms:modified xsi:type="dcterms:W3CDTF">2017-11-14T07:37:57Z</dcterms:modified>
  <cp:category/>
  <cp:version/>
  <cp:contentType/>
  <cp:contentStatus/>
</cp:coreProperties>
</file>